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300" windowWidth="13950" windowHeight="6860" tabRatio="790" activeTab="0"/>
  </bookViews>
  <sheets>
    <sheet name="Micro SSJV Zone15" sheetId="1" r:id="rId1"/>
    <sheet name="ETPF SSJV Zone15" sheetId="2" r:id="rId2"/>
    <sheet name="Micro-sprinkler NSJV Zone12" sheetId="3" r:id="rId3"/>
    <sheet name="Flood" sheetId="4" r:id="rId4"/>
    <sheet name="Monthly ET-SSJV" sheetId="5" r:id="rId5"/>
    <sheet name="Monthly ET-NSJV" sheetId="6" r:id="rId6"/>
    <sheet name="Scheduling calculator" sheetId="7" r:id="rId7"/>
    <sheet name="References" sheetId="8" r:id="rId8"/>
  </sheets>
  <definedNames>
    <definedName name="_xlnm.Print_Area" localSheetId="1">'ETPF SSJV Zone15'!$A$4:$S$59</definedName>
    <definedName name="_xlnm.Print_Area" localSheetId="3">'Flood'!$A$4:$M$59</definedName>
    <definedName name="_xlnm.Print_Area" localSheetId="0">'Micro SSJV Zone15'!$A$6:$Q$61</definedName>
    <definedName name="_xlnm.Print_Area" localSheetId="2">'Micro-sprinkler NSJV Zone12'!$A$4:$M$59</definedName>
    <definedName name="_xlnm.Print_Area" localSheetId="5">'Monthly ET-NSJV'!$A$1:$O$33</definedName>
    <definedName name="_xlnm.Print_Area" localSheetId="4">'Monthly ET-SSJV'!$A$1:$O$33</definedName>
    <definedName name="_xlnm.Print_Area" localSheetId="6">'Scheduling calculator'!$A$19:$S$34</definedName>
  </definedNames>
  <calcPr fullCalcOnLoad="1"/>
</workbook>
</file>

<file path=xl/sharedStrings.xml><?xml version="1.0" encoding="utf-8"?>
<sst xmlns="http://schemas.openxmlformats.org/spreadsheetml/2006/main" count="373" uniqueCount="131">
  <si>
    <t>CIMIS ET Estimates</t>
  </si>
  <si>
    <t>Week</t>
  </si>
  <si>
    <t>Total</t>
  </si>
  <si>
    <t>!st Leaf</t>
  </si>
  <si>
    <t>2nd Leaf</t>
  </si>
  <si>
    <t>3rd Leaf</t>
  </si>
  <si>
    <t>4th Leaf</t>
  </si>
  <si>
    <t>Mature</t>
  </si>
  <si>
    <t>(Kc)</t>
  </si>
  <si>
    <t>(in)</t>
  </si>
  <si>
    <t>2nd Leaf @ 55%</t>
  </si>
  <si>
    <t>3rd Leaf @ 75%</t>
  </si>
  <si>
    <t>4th Leaf @ 90%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</si>
  <si>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</si>
  <si>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</si>
  <si>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</si>
  <si>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</si>
  <si>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</si>
  <si>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</si>
  <si>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</si>
  <si>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</si>
  <si>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</si>
  <si>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</si>
  <si>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</si>
  <si>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</si>
  <si>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(no cover)</t>
  </si>
  <si>
    <t>(full cover)</t>
  </si>
  <si>
    <t>DRIP</t>
  </si>
  <si>
    <t>MICRO SPRINKLER</t>
  </si>
  <si>
    <t>(some cover)</t>
  </si>
  <si>
    <t>"NORMAL" GRASS ETo</t>
  </si>
  <si>
    <t>TOTAL (in)</t>
  </si>
  <si>
    <t>MONTHLY ET for MATURE ALMONDS</t>
  </si>
  <si>
    <t>Mature Crop Coef-ficient</t>
  </si>
  <si>
    <t>Month</t>
  </si>
  <si>
    <t/>
  </si>
  <si>
    <t>2nd Leaf 
@ 55%</t>
  </si>
  <si>
    <t>3rd Leaf 
@ 75%</t>
  </si>
  <si>
    <t>4th Leaf 
@ 90%</t>
  </si>
  <si>
    <t>1st Leaf 
@ 40%</t>
  </si>
  <si>
    <t>Monthly Almond ET -- Some Cover Crop, Fanjet
(CIMIS estimate for Shafter, SSJV)</t>
  </si>
  <si>
    <t>Shafter Normal Year Grass ETo</t>
  </si>
  <si>
    <t>(SHAFTER)</t>
  </si>
  <si>
    <t>CIMIS ET Estimates Using Shafter "Historic" ETo</t>
  </si>
  <si>
    <t xml:space="preserve">Normal Year Grass </t>
  </si>
  <si>
    <t>Eto
(in)</t>
  </si>
  <si>
    <t>ficient
(Kc)</t>
  </si>
  <si>
    <t>Mature Crop Coef-</t>
  </si>
  <si>
    <t>1st Leaf @ 40%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</si>
  <si>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</si>
  <si>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</si>
  <si>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</si>
  <si>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</si>
  <si>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</si>
  <si>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</si>
  <si>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</si>
  <si>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</si>
  <si>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</si>
  <si>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</si>
  <si>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</si>
  <si>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</si>
  <si>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REFERENCES</t>
  </si>
  <si>
    <t>Crop Water Use – A Guide for Scheduling Irrigations in the Southern San Joaquin Valley. 1977-1991. Dept of Water Resources.  (Published 1993)</t>
  </si>
  <si>
    <r>
      <t>Determining Daily Reference Evapotranspiration (ET</t>
    </r>
    <r>
      <rPr>
        <sz val="7"/>
        <rFont val="Times New Roman"/>
        <family val="1"/>
      </rPr>
      <t>o</t>
    </r>
    <r>
      <rPr>
        <sz val="11"/>
        <rFont val="Times New Roman"/>
        <family val="1"/>
      </rPr>
      <t>). UC Publication 21426.</t>
    </r>
  </si>
  <si>
    <t>Doorenbos, J. and Kassam, A. H. 1979. Yield response to water. FAO Irrig. and Drain. Paper No. 33, FAO, Rome, Italy. 193 pp.</t>
  </si>
  <si>
    <t>Doorenbos, J. and Pruitt, W. O., 1977. Crop water requirements. Irrigation and Drainage Paper No. 24, (rev.) FAO, Rome, Italy. 144 p.</t>
  </si>
  <si>
    <t>Drought Irrigation Strategies for Deciduous Orchards. UC Publication 21453.</t>
  </si>
  <si>
    <t>Drought Tips for Vegetable and Field Crop Production. UC Publication 21466.</t>
  </si>
  <si>
    <t>FAO.  2005. CROPWAT – computer model for calculating climate data, ET and irrigation scheduling.  http://www.fao.org/WAICENT/FAOINFO/AGRICULT/AGL/AGLW/cropwat.stm</t>
  </si>
  <si>
    <t>Grattan, S.R., Bowers, W., Dong, A., Snyder, R., Carroll, J. J. and George, W. 1998. New crop coefficients estimate water use of vegetables, row crops. California Agriculture, Vol 52, No. 1.</t>
  </si>
  <si>
    <t>Irrigation Scheduling: A Guide for Efficient On-Farm Water Management. UC Publication 21454.</t>
  </si>
  <si>
    <t>Jones, D.W., R.L. Snyder, S. Eching and H. Gomez-McPherson.  1999.  California Irrigation Management Information System (CIMIS) Reference Evapotranspiration. Climate zone map, Dept. of Water Resources, Sacramento, CA.</t>
  </si>
  <si>
    <t>Pruitt, W.O., Fereres, E., Kaita, K. and Snyder, R.L. 1987. Reference Evapotranspiration (ETo) for California. UC Bulletin 1922.</t>
  </si>
  <si>
    <t>Using Reference Evapotranspiration (ETo) and Crop Coefficients to Estimate Crop Evapotranspiration (ETc) for Agronomic Crops, Grasses, and Vegetable Crops. UC Publication 21427.</t>
  </si>
  <si>
    <t>Using Reference Evapotranspiration (ETo) and Crop Coefficients to Estimate Crop Evapotranspiration (ETc) for Trees and Vines. UC Publication 21428.</t>
  </si>
  <si>
    <t>Row spacing (ft):</t>
  </si>
  <si>
    <t>Tree spacing (ft):</t>
  </si>
  <si>
    <t>Area/tree (sq ft):</t>
  </si>
  <si>
    <t>Emitter Type:</t>
  </si>
  <si>
    <t>10.7gph fanjet</t>
  </si>
  <si>
    <t>Number/Tree:</t>
  </si>
  <si>
    <t>Effective Wetted Diameter (ft):</t>
  </si>
  <si>
    <t>Flow/tree (gph):</t>
  </si>
  <si>
    <t>Total Applied (in/day):</t>
  </si>
  <si>
    <t>Wetted Area (%):</t>
  </si>
  <si>
    <t>Wet Area Appld (in/day):</t>
  </si>
  <si>
    <t>Adjusted Block Coef.
4th Leaf (%Kc)</t>
  </si>
  <si>
    <t>NO. IRRIGS USING 24 HR SETS</t>
  </si>
  <si>
    <t>NO. IRRIGS USING 18 HR SETS</t>
  </si>
  <si>
    <t>NO. IRRIGS USING 12 HR SETS</t>
  </si>
  <si>
    <t>TOTAL SETS FOR YEAR</t>
  </si>
  <si>
    <t>Daily Avg</t>
  </si>
  <si>
    <t>Monthly Total</t>
  </si>
  <si>
    <r>
      <t>Almond ET</t>
    </r>
    <r>
      <rPr>
        <b/>
        <sz val="12"/>
        <rFont val="Arial"/>
        <family val="2"/>
      </rPr>
      <t xml:space="preserve"> -- </t>
    </r>
    <r>
      <rPr>
        <b/>
        <sz val="14"/>
        <rFont val="Arial"/>
        <family val="2"/>
      </rPr>
      <t>Full Cover Crop,  Flood
with Harvest Cutoff Stress</t>
    </r>
    <r>
      <rPr>
        <b/>
        <sz val="12"/>
        <rFont val="Arial"/>
        <family val="2"/>
      </rPr>
      <t xml:space="preserve">
(CIMIS estimate for Shafter)</t>
    </r>
  </si>
  <si>
    <t>FLOOD (with harvest stress)</t>
  </si>
  <si>
    <t>FLOOD (with harvest cutoff stress)</t>
  </si>
  <si>
    <r>
      <t>CALCULATING REQUIRED IRRIGATION SETS:  SYSTEM @ 
           2-10.7 gph FANJETS/TREE @ 21 X 24 FT SPACING</t>
    </r>
    <r>
      <rPr>
        <sz val="10"/>
        <rFont val="Arial"/>
        <family val="2"/>
      </rPr>
      <t xml:space="preserve">
          = 21.4 gph = 514 g/tree/24 hrs = </t>
    </r>
    <r>
      <rPr>
        <b/>
        <sz val="12"/>
        <rFont val="Arial"/>
        <family val="2"/>
      </rPr>
      <t>1.63 in/day total</t>
    </r>
    <r>
      <rPr>
        <sz val="10"/>
        <rFont val="Arial"/>
        <family val="2"/>
      </rPr>
      <t xml:space="preserve">
                    OVER 10 x 24 ft, 240 sq ft wetted area 
                                            </t>
    </r>
    <r>
      <rPr>
        <b/>
        <sz val="12"/>
        <rFont val="Arial"/>
        <family val="2"/>
      </rPr>
      <t>= 3.64 in/day wetted area</t>
    </r>
  </si>
  <si>
    <t>Actual 24 hr sets run for year</t>
  </si>
  <si>
    <t>SEASON APPLIED INCHES</t>
  </si>
  <si>
    <t>(IMPORTANT NOTE:  Crop coefficients used in these tables have been developed from data and personal experience from irrigation/soil moisture monitoring demonstrations and trials in more than 50 almond orchards over 18 years collected by Blake Sanden, Irrigation &amp; Agronomy Advisor, UCCE Kern County.)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</si>
  <si>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</si>
  <si>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</si>
  <si>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</si>
  <si>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</si>
  <si>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</si>
  <si>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</si>
  <si>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</si>
  <si>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</si>
  <si>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</si>
  <si>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</si>
  <si>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</si>
  <si>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Gallon /</t>
  </si>
  <si>
    <t>day / tree</t>
  </si>
  <si>
    <t>CIMIS ET Estimates Using "Historic" Eto for Modesto (CIMIS Zone 12)</t>
  </si>
  <si>
    <t>Almond ET -- Some Cover Crop, MIcrosprinkler
(N. San Joaquin Valley Modesto, CA)</t>
  </si>
  <si>
    <t>ETo
(in)</t>
  </si>
  <si>
    <t>20X22 
Spacing
Gallon /</t>
  </si>
  <si>
    <t>Monthly Almond ET -- Some Cover Crop, Microsprinkler
(CIMIS estimate for Shafter, SSJV)</t>
  </si>
  <si>
    <t>INPUT SYSTEM SPECIFICATIONS HERE</t>
  </si>
  <si>
    <t>ET Estimates Using  CIMIS Zone 15  Southern SJV  "Historic" ETo      (1st published 2002)</t>
  </si>
  <si>
    <t>Almond ET -- Minimal Cover Crop, MIcrosprinkler
Drip  (inches, S. San Joaquin Valley)</t>
  </si>
  <si>
    <t>ETPF   (Kc)</t>
  </si>
  <si>
    <t>WEEKLY ETPF ET</t>
  </si>
  <si>
    <t>Cumulative Almond</t>
  </si>
  <si>
    <t>ET Estimates Using  CIMIS Zone 15  Southern SJV  "Historic" ETo    (Depth in inches,   1st published 2002)</t>
  </si>
  <si>
    <t>Grass ETo (57.9 in)</t>
  </si>
  <si>
    <t>Mature Almond ET (52.3 in)</t>
  </si>
  <si>
    <t>Almond crop coefficient (Kc)</t>
  </si>
  <si>
    <t>1st Leaf</t>
  </si>
  <si>
    <t>NORMAL YEAR WATER USE (ET) FOR ALMONDS IN THE S. SAN JOAQUIN VALLEY</t>
  </si>
  <si>
    <r>
      <t xml:space="preserve">Almond ET -- Minimal Cover Crop, Microsprinkler -- Drip
</t>
    </r>
    <r>
      <rPr>
        <b/>
        <sz val="18"/>
        <rFont val="Arial"/>
        <family val="2"/>
      </rPr>
      <t>Weekly ET, SSJV (inches)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</si>
</sst>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b/>
      <u val="single"/>
      <sz val="14"/>
      <name val="Arial"/>
      <family val="2"/>
    </font>
    <font>
      <b/>
      <sz val="14"/>
      <color indexed="8"/>
      <name val="Calibri"/>
      <family val="0"/>
    </font>
    <font>
      <b/>
      <sz val="14"/>
      <color indexed="63"/>
      <name val="Calibri"/>
      <family val="0"/>
    </font>
    <font>
      <b/>
      <sz val="12.85"/>
      <color indexed="63"/>
      <name val="Calibri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8"/>
      <color indexed="63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2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2" fontId="8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3" fillId="0" borderId="0" xfId="60" applyFont="1" applyAlignment="1">
      <alignment/>
    </xf>
    <xf numFmtId="0" fontId="7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9" fontId="20" fillId="0" borderId="11" xfId="60" applyFont="1" applyBorder="1" applyAlignment="1" quotePrefix="1">
      <alignment horizontal="center" wrapText="1"/>
    </xf>
    <xf numFmtId="171" fontId="11" fillId="0" borderId="0" xfId="0" applyNumberFormat="1" applyFont="1" applyFill="1" applyBorder="1" applyAlignment="1">
      <alignment horizontal="center"/>
    </xf>
    <xf numFmtId="171" fontId="12" fillId="0" borderId="0" xfId="0" applyNumberFormat="1" applyFont="1" applyAlignment="1">
      <alignment horizontal="center"/>
    </xf>
    <xf numFmtId="171" fontId="22" fillId="0" borderId="2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center"/>
    </xf>
    <xf numFmtId="164" fontId="10" fillId="0" borderId="0" xfId="0" applyNumberFormat="1" applyFont="1" applyAlignment="1">
      <alignment/>
    </xf>
    <xf numFmtId="1" fontId="4" fillId="0" borderId="28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164" fontId="13" fillId="0" borderId="0" xfId="0" applyNumberFormat="1" applyFont="1" applyAlignment="1">
      <alignment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71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2" fontId="13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1" fontId="7" fillId="0" borderId="27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3" fillId="0" borderId="20" xfId="0" applyFont="1" applyBorder="1" applyAlignment="1">
      <alignment/>
    </xf>
    <xf numFmtId="9" fontId="7" fillId="0" borderId="0" xfId="60" applyFont="1" applyBorder="1" applyAlignment="1">
      <alignment horizontal="center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25" fillId="0" borderId="0" xfId="57" applyFont="1" applyBorder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st ET tab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Comparison of Grass and Almond ET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925"/>
          <c:w val="0.972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'ETPF SSJV Zone15'!$B$6</c:f>
              <c:strCache>
                <c:ptCount val="1"/>
                <c:pt idx="0">
                  <c:v>Grass ETo (57.9 in)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Zone15'!$B$7:$B$58</c:f>
              <c:numCache/>
            </c:numRef>
          </c:val>
          <c:smooth val="0"/>
        </c:ser>
        <c:ser>
          <c:idx val="1"/>
          <c:order val="1"/>
          <c:tx>
            <c:strRef>
              <c:f>'ETPF SSJV Zone15'!$C$6</c:f>
              <c:strCache>
                <c:ptCount val="1"/>
                <c:pt idx="0">
                  <c:v>!st Leaf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Zone15'!$C$7:$C$58</c:f>
            </c:numRef>
          </c:val>
          <c:smooth val="0"/>
        </c:ser>
        <c:ser>
          <c:idx val="2"/>
          <c:order val="2"/>
          <c:tx>
            <c:strRef>
              <c:f>'ETPF SSJV Zone15'!$D$6</c:f>
              <c:strCache>
                <c:ptCount val="1"/>
                <c:pt idx="0">
                  <c:v>2nd Leaf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Zone15'!$D$7:$D$58</c:f>
            </c:numRef>
          </c:val>
          <c:smooth val="0"/>
        </c:ser>
        <c:ser>
          <c:idx val="3"/>
          <c:order val="3"/>
          <c:tx>
            <c:strRef>
              <c:f>'ETPF SSJV Zone15'!$E$6</c:f>
              <c:strCache>
                <c:ptCount val="1"/>
                <c:pt idx="0">
                  <c:v>3rd Leaf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Zone15'!$E$7:$E$58</c:f>
            </c:numRef>
          </c:val>
          <c:smooth val="0"/>
        </c:ser>
        <c:ser>
          <c:idx val="4"/>
          <c:order val="4"/>
          <c:tx>
            <c:strRef>
              <c:f>'ETPF SSJV Zone15'!$F$6</c:f>
              <c:strCache>
                <c:ptCount val="1"/>
                <c:pt idx="0">
                  <c:v>4th Leaf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Zone15'!$F$7:$F$58</c:f>
            </c:numRef>
          </c:val>
          <c:smooth val="0"/>
        </c:ser>
        <c:ser>
          <c:idx val="5"/>
          <c:order val="5"/>
          <c:tx>
            <c:strRef>
              <c:f>'ETPF SSJV Zone15'!$G$6</c:f>
              <c:strCache>
                <c:ptCount val="1"/>
                <c:pt idx="0">
                  <c:v>Almond crop coefficient (Kc)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Zone15'!$G$7:$G$58</c:f>
              <c:numCache/>
            </c:numRef>
          </c:val>
          <c:smooth val="0"/>
        </c:ser>
        <c:ser>
          <c:idx val="6"/>
          <c:order val="6"/>
          <c:tx>
            <c:strRef>
              <c:f>'ETPF SSJV Zone15'!$N$6</c:f>
              <c:strCache>
                <c:ptCount val="1"/>
                <c:pt idx="0">
                  <c:v>Mature Almond ET (52.3 in)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'ETPF SSJV Zone15'!$A$7:$A$58</c:f>
              <c:strCache/>
            </c:strRef>
          </c:cat>
          <c:val>
            <c:numRef>
              <c:f>'ETPF SSJV Zone15'!$N$7:$N$58</c:f>
              <c:numCache/>
            </c:numRef>
          </c:val>
          <c:smooth val="0"/>
        </c:ser>
        <c:marker val="1"/>
        <c:axId val="39032034"/>
        <c:axId val="15743987"/>
      </c:lineChart>
      <c:dateAx>
        <c:axId val="39032034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157439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743987"/>
        <c:scaling>
          <c:orientation val="minMax"/>
          <c:max val="2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</a:rPr>
                  <a:t>Crop Coefficient (Kc) or Weekly ET (in)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39032034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4"/>
          <c:y val="0.6705"/>
          <c:w val="0.35325"/>
          <c:h val="0.18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1"/>
          <c:w val="0.972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'Monthly ET-SSJV'!$J$3</c:f>
              <c:strCache>
                <c:ptCount val="1"/>
                <c:pt idx="0">
                  <c:v>DRIP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'Monthly ET-SSJV'!$I$4:$I$15</c:f>
              <c:strCache/>
            </c:strRef>
          </c:cat>
          <c:val>
            <c:numRef>
              <c:f>'Monthly ET-SSJV'!$J$4:$J$15</c:f>
              <c:numCache/>
            </c:numRef>
          </c:val>
          <c:smooth val="0"/>
        </c:ser>
        <c:ser>
          <c:idx val="1"/>
          <c:order val="1"/>
          <c:tx>
            <c:strRef>
              <c:f>'Monthly ET-SSJV'!$K$3</c:f>
              <c:strCache>
                <c:ptCount val="1"/>
                <c:pt idx="0">
                  <c:v>MICRO SPRINKLER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'Monthly ET-SSJV'!$I$4:$I$15</c:f>
              <c:strCache/>
            </c:strRef>
          </c:cat>
          <c:val>
            <c:numRef>
              <c:f>'Monthly ET-SSJV'!$K$4:$K$15</c:f>
              <c:numCache/>
            </c:numRef>
          </c:val>
          <c:smooth val="0"/>
        </c:ser>
        <c:ser>
          <c:idx val="2"/>
          <c:order val="2"/>
          <c:tx>
            <c:strRef>
              <c:f>'Monthly ET-SSJV'!$L$3</c:f>
              <c:strCache>
                <c:ptCount val="1"/>
                <c:pt idx="0">
                  <c:v>FLOOD (with harvest cutoff stress)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'Monthly ET-SSJV'!$I$4:$I$15</c:f>
              <c:strCache/>
            </c:strRef>
          </c:cat>
          <c:val>
            <c:numRef>
              <c:f>'Monthly ET-SSJV'!$L$4:$L$15</c:f>
              <c:numCache/>
            </c:numRef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41"/>
        <c:crosses val="autoZero"/>
        <c:auto val="1"/>
        <c:lblOffset val="100"/>
        <c:tickLblSkip val="1"/>
        <c:noMultiLvlLbl val="0"/>
      </c:catAx>
      <c:valAx>
        <c:axId val="19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Almond ET (inches)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8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25"/>
          <c:y val="0.70175"/>
          <c:w val="0.4482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075"/>
          <c:w val="0.973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'Monthly ET-NSJV'!$J$3</c:f>
              <c:strCache>
                <c:ptCount val="1"/>
                <c:pt idx="0">
                  <c:v>DRIP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'Monthly ET-NSJV'!$I$4:$I$15</c:f>
              <c:strCache/>
            </c:strRef>
          </c:cat>
          <c:val>
            <c:numRef>
              <c:f>'Monthly ET-NSJV'!$J$4:$J$15</c:f>
              <c:numCache/>
            </c:numRef>
          </c:val>
          <c:smooth val="0"/>
        </c:ser>
        <c:ser>
          <c:idx val="1"/>
          <c:order val="1"/>
          <c:tx>
            <c:strRef>
              <c:f>'Monthly ET-NSJV'!$K$3</c:f>
              <c:strCache>
                <c:ptCount val="1"/>
                <c:pt idx="0">
                  <c:v>MICRO SPRINKLER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'Monthly ET-NSJV'!$I$4:$I$15</c:f>
              <c:strCache/>
            </c:strRef>
          </c:cat>
          <c:val>
            <c:numRef>
              <c:f>'Monthly ET-NSJV'!$K$4:$K$15</c:f>
              <c:numCache/>
            </c:numRef>
          </c:val>
          <c:smooth val="0"/>
        </c:ser>
        <c:ser>
          <c:idx val="2"/>
          <c:order val="2"/>
          <c:tx>
            <c:strRef>
              <c:f>'Monthly ET-NSJV'!$L$3</c:f>
              <c:strCache>
                <c:ptCount val="1"/>
                <c:pt idx="0">
                  <c:v>FLOOD (with harvest cutoff stress)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'Monthly ET-NSJV'!$I$4:$I$15</c:f>
              <c:strCache/>
            </c:strRef>
          </c:cat>
          <c:val>
            <c:numRef>
              <c:f>'Monthly ET-NSJV'!$L$4:$L$15</c:f>
              <c:numCache/>
            </c:numRef>
          </c:val>
          <c:smooth val="0"/>
        </c:ser>
        <c:marker val="1"/>
        <c:axId val="1750870"/>
        <c:axId val="15757831"/>
      </c:line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7831"/>
        <c:crosses val="autoZero"/>
        <c:auto val="1"/>
        <c:lblOffset val="100"/>
        <c:tickLblSkip val="1"/>
        <c:noMultiLvlLbl val="0"/>
      </c:catAx>
      <c:valAx>
        <c:axId val="1575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Almond ET (inches)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"/>
          <c:y val="0.70225"/>
          <c:w val="0.437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76200</xdr:rowOff>
    </xdr:from>
    <xdr:to>
      <xdr:col>13</xdr:col>
      <xdr:colOff>0</xdr:colOff>
      <xdr:row>3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76200"/>
          <a:ext cx="75819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"Adjustment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Factor" for age = the approximate water use ratio of a full cover (&gt;80%) almond orchard for that age tree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Example:  Mature almond Kc for 5/26 = 0.96, weekly ETc = 1.72"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For 3rd leaf drip:  Kc for 5/26 = 0.96*0.75 = 0.72,  weekly ETc = 1.78 (grass ETo)*0.72 =  1.72 (mature almond)*0.75 = 1.29"</a:t>
          </a:r>
        </a:p>
      </xdr:txBody>
    </xdr:sp>
    <xdr:clientData/>
  </xdr:twoCellAnchor>
  <xdr:twoCellAnchor>
    <xdr:from>
      <xdr:col>2</xdr:col>
      <xdr:colOff>133350</xdr:colOff>
      <xdr:row>6</xdr:row>
      <xdr:rowOff>76200</xdr:rowOff>
    </xdr:from>
    <xdr:to>
      <xdr:col>5</xdr:col>
      <xdr:colOff>438150</xdr:colOff>
      <xdr:row>6</xdr:row>
      <xdr:rowOff>371475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428750" y="1238250"/>
          <a:ext cx="224790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Kc Adjustment Factor for Age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0.54425</cdr:y>
    </cdr:from>
    <cdr:to>
      <cdr:x>0.97975</cdr:x>
      <cdr:y>0.54425</cdr:y>
    </cdr:to>
    <cdr:sp>
      <cdr:nvSpPr>
        <cdr:cNvPr id="1" name="Straight Connector 2"/>
        <cdr:cNvSpPr>
          <a:spLocks/>
        </cdr:cNvSpPr>
      </cdr:nvSpPr>
      <cdr:spPr>
        <a:xfrm>
          <a:off x="561975" y="2438400"/>
          <a:ext cx="6248400" cy="0"/>
        </a:xfrm>
        <a:prstGeom prst="line">
          <a:avLst/>
        </a:prstGeom>
        <a:noFill/>
        <a:ln w="28575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0.31675</cdr:y>
    </cdr:from>
    <cdr:to>
      <cdr:x>0.35</cdr:x>
      <cdr:y>0.4385</cdr:y>
    </cdr:to>
    <cdr:sp>
      <cdr:nvSpPr>
        <cdr:cNvPr id="2" name="TextBox 3"/>
        <cdr:cNvSpPr txBox="1">
          <a:spLocks noChangeArrowheads="1"/>
        </cdr:cNvSpPr>
      </cdr:nvSpPr>
      <cdr:spPr>
        <a:xfrm>
          <a:off x="619125" y="1419225"/>
          <a:ext cx="18192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Uncut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well watered pasture grass Kc = 1.0</a:t>
          </a:r>
        </a:p>
      </cdr:txBody>
    </cdr:sp>
  </cdr:relSizeAnchor>
  <cdr:relSizeAnchor xmlns:cdr="http://schemas.openxmlformats.org/drawingml/2006/chartDrawing">
    <cdr:from>
      <cdr:x>0.11975</cdr:x>
      <cdr:y>0.42325</cdr:y>
    </cdr:from>
    <cdr:to>
      <cdr:x>0.17025</cdr:x>
      <cdr:y>0.53875</cdr:y>
    </cdr:to>
    <cdr:sp>
      <cdr:nvSpPr>
        <cdr:cNvPr id="3" name="Straight Arrow Connector 5"/>
        <cdr:cNvSpPr>
          <a:spLocks/>
        </cdr:cNvSpPr>
      </cdr:nvSpPr>
      <cdr:spPr>
        <a:xfrm>
          <a:off x="828675" y="1895475"/>
          <a:ext cx="352425" cy="514350"/>
        </a:xfrm>
        <a:prstGeom prst="straightConnector1">
          <a:avLst/>
        </a:prstGeom>
        <a:noFill/>
        <a:ln w="38100" cmpd="sng">
          <a:solidFill>
            <a:srgbClr val="00B05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552450</xdr:colOff>
      <xdr:row>9</xdr:row>
      <xdr:rowOff>238125</xdr:rowOff>
    </xdr:from>
    <xdr:to>
      <xdr:col>32</xdr:col>
      <xdr:colOff>200025</xdr:colOff>
      <xdr:row>28</xdr:row>
      <xdr:rowOff>200025</xdr:rowOff>
    </xdr:to>
    <xdr:graphicFrame>
      <xdr:nvGraphicFramePr>
        <xdr:cNvPr id="1" name="Chart 1"/>
        <xdr:cNvGraphicFramePr/>
      </xdr:nvGraphicFramePr>
      <xdr:xfrm>
        <a:off x="10439400" y="3019425"/>
        <a:ext cx="6962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-0.00075</cdr:y>
    </cdr:from>
    <cdr:to>
      <cdr:x>0.81325</cdr:x>
      <cdr:y>0.04925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0"/>
          <a:ext cx="3429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Year Monthly Almond ET for S. San Joaquin Valley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323850</xdr:rowOff>
    </xdr:from>
    <xdr:to>
      <xdr:col>14</xdr:col>
      <xdr:colOff>552450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733925" y="3238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18</xdr:row>
      <xdr:rowOff>114300</xdr:rowOff>
    </xdr:from>
    <xdr:to>
      <xdr:col>5</xdr:col>
      <xdr:colOff>542925</xdr:colOff>
      <xdr:row>18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4438650"/>
          <a:ext cx="2495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of Mature Tree ET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-0.00075</cdr:y>
    </cdr:from>
    <cdr:to>
      <cdr:x>0.812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0"/>
          <a:ext cx="3514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Year Monthly Almond ET for S. San Joaquin Valley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333375</xdr:rowOff>
    </xdr:from>
    <xdr:to>
      <xdr:col>14</xdr:col>
      <xdr:colOff>428625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610100" y="333375"/>
        <a:ext cx="54292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12</xdr:row>
      <xdr:rowOff>85725</xdr:rowOff>
    </xdr:from>
    <xdr:to>
      <xdr:col>12</xdr:col>
      <xdr:colOff>428625</xdr:colOff>
      <xdr:row>17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38575" y="2876550"/>
          <a:ext cx="21812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number of sets run for each month here to look at the final applied inches for that month and then total for the year.</a:t>
          </a:r>
        </a:p>
      </xdr:txBody>
    </xdr:sp>
    <xdr:clientData/>
  </xdr:twoCellAnchor>
  <xdr:twoCellAnchor>
    <xdr:from>
      <xdr:col>12</xdr:col>
      <xdr:colOff>352425</xdr:colOff>
      <xdr:row>13</xdr:row>
      <xdr:rowOff>38100</xdr:rowOff>
    </xdr:from>
    <xdr:to>
      <xdr:col>17</xdr:col>
      <xdr:colOff>161925</xdr:colOff>
      <xdr:row>19</xdr:row>
      <xdr:rowOff>485775</xdr:rowOff>
    </xdr:to>
    <xdr:sp>
      <xdr:nvSpPr>
        <xdr:cNvPr id="2" name="Line 4"/>
        <xdr:cNvSpPr>
          <a:spLocks/>
        </xdr:cNvSpPr>
      </xdr:nvSpPr>
      <xdr:spPr>
        <a:xfrm>
          <a:off x="5943600" y="3038475"/>
          <a:ext cx="290512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tabSelected="1" zoomScale="80" zoomScaleNormal="80" zoomScalePageLayoutView="0" workbookViewId="0" topLeftCell="A1">
      <selection activeCell="L13" sqref="L13"/>
    </sheetView>
  </sheetViews>
  <sheetFormatPr defaultColWidth="9.140625" defaultRowHeight="12.75"/>
  <cols>
    <col min="1" max="1" width="9.7109375" style="4" customWidth="1"/>
    <col min="2" max="6" width="9.7109375" style="5" customWidth="1"/>
    <col min="7" max="7" width="9.7109375" style="7" customWidth="1"/>
    <col min="8" max="8" width="1.7109375" style="4" customWidth="1"/>
    <col min="9" max="12" width="9.7109375" style="5" customWidth="1"/>
    <col min="13" max="13" width="9.7109375" style="8" customWidth="1"/>
    <col min="14" max="14" width="6.28125" style="8" customWidth="1"/>
    <col min="15" max="15" width="6.8515625" style="4" customWidth="1"/>
    <col min="16" max="16" width="8.140625" style="4" customWidth="1"/>
    <col min="17" max="17" width="9.140625" style="35" customWidth="1"/>
    <col min="18" max="16384" width="9.140625" style="4" customWidth="1"/>
  </cols>
  <sheetData>
    <row r="1" spans="2:21" s="194" customFormat="1" ht="13.5">
      <c r="B1" s="195"/>
      <c r="C1" s="195"/>
      <c r="D1" s="195"/>
      <c r="E1" s="195"/>
      <c r="F1" s="195"/>
      <c r="G1" s="195"/>
      <c r="H1" s="195"/>
      <c r="O1" s="195"/>
      <c r="P1" s="195"/>
      <c r="Q1" s="195"/>
      <c r="R1" s="195"/>
      <c r="S1" s="195"/>
      <c r="T1" s="195"/>
      <c r="U1" s="195"/>
    </row>
    <row r="2" spans="2:21" s="194" customFormat="1" ht="13.5">
      <c r="B2" s="195"/>
      <c r="C2" s="195"/>
      <c r="D2" s="195"/>
      <c r="E2" s="195"/>
      <c r="F2" s="195"/>
      <c r="G2" s="195"/>
      <c r="H2" s="195"/>
      <c r="O2" s="195"/>
      <c r="P2" s="195"/>
      <c r="Q2" s="195"/>
      <c r="R2" s="195"/>
      <c r="S2" s="195"/>
      <c r="T2" s="195"/>
      <c r="U2" s="195"/>
    </row>
    <row r="3" spans="2:21" s="194" customFormat="1" ht="13.5">
      <c r="B3" s="195"/>
      <c r="C3" s="195"/>
      <c r="D3" s="195"/>
      <c r="E3" s="195"/>
      <c r="F3" s="195"/>
      <c r="G3" s="195"/>
      <c r="H3" s="195"/>
      <c r="O3" s="195"/>
      <c r="P3" s="195"/>
      <c r="Q3" s="195"/>
      <c r="R3" s="195"/>
      <c r="S3" s="195"/>
      <c r="T3" s="195"/>
      <c r="U3" s="195"/>
    </row>
    <row r="4" spans="2:21" s="194" customFormat="1" ht="14.25">
      <c r="B4" s="195"/>
      <c r="C4" s="195"/>
      <c r="D4" s="195"/>
      <c r="E4" s="195"/>
      <c r="F4" s="195"/>
      <c r="G4" s="195"/>
      <c r="H4" s="195"/>
      <c r="O4" s="195"/>
      <c r="P4" s="195"/>
      <c r="Q4" s="195"/>
      <c r="R4" s="195"/>
      <c r="S4" s="195"/>
      <c r="T4" s="195"/>
      <c r="U4" s="195"/>
    </row>
    <row r="5" spans="1:21" s="194" customFormat="1" ht="18.75" thickBot="1">
      <c r="A5" s="196" t="s">
        <v>129</v>
      </c>
      <c r="B5" s="195"/>
      <c r="C5" s="195"/>
      <c r="D5" s="195"/>
      <c r="E5" s="195"/>
      <c r="F5" s="195"/>
      <c r="G5" s="195"/>
      <c r="H5" s="195"/>
      <c r="O5" s="195"/>
      <c r="P5" s="195"/>
      <c r="Q5" s="195"/>
      <c r="R5" s="195"/>
      <c r="S5" s="195"/>
      <c r="T5" s="195"/>
      <c r="U5" s="195"/>
    </row>
    <row r="6" spans="1:17" ht="18" customHeight="1" thickBot="1">
      <c r="A6" s="186" t="s">
        <v>119</v>
      </c>
      <c r="B6" s="187"/>
      <c r="C6" s="187"/>
      <c r="D6" s="187"/>
      <c r="E6" s="187"/>
      <c r="F6" s="187"/>
      <c r="G6" s="188"/>
      <c r="H6" s="189"/>
      <c r="I6" s="187"/>
      <c r="J6" s="187"/>
      <c r="K6" s="187"/>
      <c r="L6" s="187"/>
      <c r="M6" s="190"/>
      <c r="N6" s="190"/>
      <c r="O6" s="191"/>
      <c r="P6" s="191"/>
      <c r="Q6" s="192"/>
    </row>
    <row r="7" spans="1:17" ht="58.5" customHeight="1">
      <c r="A7" s="44"/>
      <c r="B7" s="143" t="s">
        <v>44</v>
      </c>
      <c r="C7" s="193">
        <v>0.4</v>
      </c>
      <c r="D7" s="193">
        <v>0.55</v>
      </c>
      <c r="E7" s="193">
        <v>0.75</v>
      </c>
      <c r="F7" s="193">
        <v>0.9</v>
      </c>
      <c r="G7" s="144" t="s">
        <v>47</v>
      </c>
      <c r="H7" s="145"/>
      <c r="I7" s="197" t="s">
        <v>130</v>
      </c>
      <c r="J7" s="198"/>
      <c r="K7" s="198"/>
      <c r="L7" s="198"/>
      <c r="M7" s="198"/>
      <c r="N7" s="183"/>
      <c r="O7" s="178"/>
      <c r="P7" s="184"/>
      <c r="Q7" s="185" t="s">
        <v>116</v>
      </c>
    </row>
    <row r="8" spans="1:17" ht="45.75" thickBot="1">
      <c r="A8" s="146" t="s">
        <v>1</v>
      </c>
      <c r="B8" s="114" t="s">
        <v>115</v>
      </c>
      <c r="C8" s="42" t="s">
        <v>128</v>
      </c>
      <c r="D8" s="42" t="s">
        <v>4</v>
      </c>
      <c r="E8" s="42" t="s">
        <v>5</v>
      </c>
      <c r="F8" s="42" t="s">
        <v>6</v>
      </c>
      <c r="G8" s="147" t="s">
        <v>46</v>
      </c>
      <c r="H8" s="148"/>
      <c r="I8" s="149" t="s">
        <v>48</v>
      </c>
      <c r="J8" s="114" t="s">
        <v>10</v>
      </c>
      <c r="K8" s="114" t="s">
        <v>11</v>
      </c>
      <c r="L8" s="114" t="s">
        <v>12</v>
      </c>
      <c r="M8" s="43" t="s">
        <v>7</v>
      </c>
      <c r="N8" s="199" t="s">
        <v>92</v>
      </c>
      <c r="O8" s="200"/>
      <c r="P8" s="179" t="s">
        <v>91</v>
      </c>
      <c r="Q8" s="176" t="s">
        <v>112</v>
      </c>
    </row>
    <row r="9" spans="1:17" ht="15">
      <c r="A9" s="151">
        <v>36897</v>
      </c>
      <c r="B9" s="34">
        <v>0.21410459587955624</v>
      </c>
      <c r="C9" s="34">
        <f>$G9*C$7</f>
        <v>0.16000000000000003</v>
      </c>
      <c r="D9" s="34">
        <f>$G9*D$7</f>
        <v>0.22000000000000003</v>
      </c>
      <c r="E9" s="34">
        <f>$G9*E$7</f>
        <v>0.30000000000000004</v>
      </c>
      <c r="F9" s="34">
        <f>$G9*F$7</f>
        <v>0.36000000000000004</v>
      </c>
      <c r="G9" s="34">
        <v>0.4</v>
      </c>
      <c r="H9" s="35"/>
      <c r="I9" s="152">
        <f aca="true" t="shared" si="0" ref="I9:I40">$B9*C9</f>
        <v>0.034256735340729004</v>
      </c>
      <c r="J9" s="153">
        <f aca="true" t="shared" si="1" ref="J9:J40">$B9*D9</f>
        <v>0.04710301109350238</v>
      </c>
      <c r="K9" s="153">
        <f aca="true" t="shared" si="2" ref="K9:K40">$B9*E9</f>
        <v>0.06423137876386688</v>
      </c>
      <c r="L9" s="153">
        <f aca="true" t="shared" si="3" ref="L9:L40">$B9*F9</f>
        <v>0.07707765451664025</v>
      </c>
      <c r="M9" s="154">
        <f aca="true" t="shared" si="4" ref="M9:M40">$B9*G9</f>
        <v>0.0856418383518225</v>
      </c>
      <c r="N9" s="172"/>
      <c r="O9" s="177"/>
      <c r="P9" s="174">
        <f>M9/7</f>
        <v>0.012234548335974644</v>
      </c>
      <c r="Q9" s="180">
        <f aca="true" t="shared" si="5" ref="Q9:Q40">M9/12*20*22*7.48/7</f>
        <v>3.355528790279979</v>
      </c>
    </row>
    <row r="10" spans="1:17" ht="15">
      <c r="A10" s="151">
        <f aca="true" t="shared" si="6" ref="A10:A41">A9+7</f>
        <v>36904</v>
      </c>
      <c r="B10" s="34">
        <v>0.27527733755942946</v>
      </c>
      <c r="C10" s="34">
        <f aca="true" t="shared" si="7" ref="C10:F60">$G10*C$7</f>
        <v>0.16000000000000003</v>
      </c>
      <c r="D10" s="34">
        <f t="shared" si="7"/>
        <v>0.22000000000000003</v>
      </c>
      <c r="E10" s="34">
        <f t="shared" si="7"/>
        <v>0.30000000000000004</v>
      </c>
      <c r="F10" s="34">
        <f t="shared" si="7"/>
        <v>0.36000000000000004</v>
      </c>
      <c r="G10" s="34">
        <v>0.4</v>
      </c>
      <c r="H10" s="35"/>
      <c r="I10" s="155">
        <f t="shared" si="0"/>
        <v>0.044044374009508724</v>
      </c>
      <c r="J10" s="156">
        <f t="shared" si="1"/>
        <v>0.06056101426307449</v>
      </c>
      <c r="K10" s="156">
        <f t="shared" si="2"/>
        <v>0.08258320126782885</v>
      </c>
      <c r="L10" s="156">
        <f t="shared" si="3"/>
        <v>0.09909984152139462</v>
      </c>
      <c r="M10" s="157">
        <f t="shared" si="4"/>
        <v>0.11011093502377178</v>
      </c>
      <c r="N10" s="172"/>
      <c r="O10" s="173"/>
      <c r="P10" s="174">
        <f aca="true" t="shared" si="8" ref="P10:P60">M10/7</f>
        <v>0.01573013357482454</v>
      </c>
      <c r="Q10" s="163">
        <f t="shared" si="5"/>
        <v>4.314251301788544</v>
      </c>
    </row>
    <row r="11" spans="1:17" ht="15">
      <c r="A11" s="151">
        <f t="shared" si="6"/>
        <v>36911</v>
      </c>
      <c r="B11" s="34">
        <v>0.2956682514527205</v>
      </c>
      <c r="C11" s="34">
        <f t="shared" si="7"/>
        <v>0.16000000000000003</v>
      </c>
      <c r="D11" s="34">
        <f t="shared" si="7"/>
        <v>0.22000000000000003</v>
      </c>
      <c r="E11" s="34">
        <f t="shared" si="7"/>
        <v>0.30000000000000004</v>
      </c>
      <c r="F11" s="34">
        <f t="shared" si="7"/>
        <v>0.36000000000000004</v>
      </c>
      <c r="G11" s="34">
        <v>0.4</v>
      </c>
      <c r="H11" s="35"/>
      <c r="I11" s="155">
        <f t="shared" si="0"/>
        <v>0.047306920232435296</v>
      </c>
      <c r="J11" s="156">
        <f t="shared" si="1"/>
        <v>0.06504701531959853</v>
      </c>
      <c r="K11" s="156">
        <f t="shared" si="2"/>
        <v>0.08870047543581618</v>
      </c>
      <c r="L11" s="156">
        <f t="shared" si="3"/>
        <v>0.1064405705229794</v>
      </c>
      <c r="M11" s="157">
        <f t="shared" si="4"/>
        <v>0.11826730058108821</v>
      </c>
      <c r="N11" s="172"/>
      <c r="O11" s="173"/>
      <c r="P11" s="174">
        <f t="shared" si="8"/>
        <v>0.016895328654441173</v>
      </c>
      <c r="Q11" s="163">
        <f t="shared" si="5"/>
        <v>4.6338254722914</v>
      </c>
    </row>
    <row r="12" spans="1:17" ht="15">
      <c r="A12" s="151">
        <f t="shared" si="6"/>
        <v>36918</v>
      </c>
      <c r="B12" s="34">
        <v>0.3568409931325937</v>
      </c>
      <c r="C12" s="34">
        <f t="shared" si="7"/>
        <v>0.16000000000000003</v>
      </c>
      <c r="D12" s="34">
        <f t="shared" si="7"/>
        <v>0.22000000000000003</v>
      </c>
      <c r="E12" s="34">
        <f t="shared" si="7"/>
        <v>0.30000000000000004</v>
      </c>
      <c r="F12" s="34">
        <f t="shared" si="7"/>
        <v>0.36000000000000004</v>
      </c>
      <c r="G12" s="34">
        <v>0.4</v>
      </c>
      <c r="H12" s="35"/>
      <c r="I12" s="155">
        <f t="shared" si="0"/>
        <v>0.057094558901215</v>
      </c>
      <c r="J12" s="156">
        <f t="shared" si="1"/>
        <v>0.07850501848917063</v>
      </c>
      <c r="K12" s="156">
        <f t="shared" si="2"/>
        <v>0.10705229793977813</v>
      </c>
      <c r="L12" s="156">
        <f t="shared" si="3"/>
        <v>0.12846275752773376</v>
      </c>
      <c r="M12" s="157">
        <f t="shared" si="4"/>
        <v>0.1427363972530375</v>
      </c>
      <c r="N12" s="172" t="s">
        <v>100</v>
      </c>
      <c r="O12" s="173">
        <f>SUM(M9:M12)</f>
        <v>0.45675647120971996</v>
      </c>
      <c r="P12" s="174">
        <f t="shared" si="8"/>
        <v>0.02039091389329107</v>
      </c>
      <c r="Q12" s="163">
        <f t="shared" si="5"/>
        <v>5.592547983799966</v>
      </c>
    </row>
    <row r="13" spans="1:17" ht="15">
      <c r="A13" s="151">
        <f t="shared" si="6"/>
        <v>36925</v>
      </c>
      <c r="B13" s="34">
        <v>0.41801373481246695</v>
      </c>
      <c r="C13" s="34">
        <f t="shared" si="7"/>
        <v>0.16000000000000003</v>
      </c>
      <c r="D13" s="34">
        <f t="shared" si="7"/>
        <v>0.22000000000000003</v>
      </c>
      <c r="E13" s="34">
        <f t="shared" si="7"/>
        <v>0.30000000000000004</v>
      </c>
      <c r="F13" s="34">
        <f t="shared" si="7"/>
        <v>0.36000000000000004</v>
      </c>
      <c r="G13" s="34">
        <v>0.4</v>
      </c>
      <c r="H13" s="35"/>
      <c r="I13" s="155">
        <f t="shared" si="0"/>
        <v>0.06688219756999472</v>
      </c>
      <c r="J13" s="156">
        <f t="shared" si="1"/>
        <v>0.09196302165874275</v>
      </c>
      <c r="K13" s="156">
        <f t="shared" si="2"/>
        <v>0.1254041204437401</v>
      </c>
      <c r="L13" s="156">
        <f t="shared" si="3"/>
        <v>0.15048494453248812</v>
      </c>
      <c r="M13" s="157">
        <f t="shared" si="4"/>
        <v>0.1672054939249868</v>
      </c>
      <c r="N13" s="172"/>
      <c r="O13" s="173"/>
      <c r="P13" s="174">
        <f t="shared" si="8"/>
        <v>0.02388649913214097</v>
      </c>
      <c r="Q13" s="163">
        <f t="shared" si="5"/>
        <v>6.551270495308531</v>
      </c>
    </row>
    <row r="14" spans="1:17" ht="15">
      <c r="A14" s="151">
        <f t="shared" si="6"/>
        <v>36932</v>
      </c>
      <c r="B14" s="34">
        <v>0.46899101954569467</v>
      </c>
      <c r="C14" s="34">
        <f t="shared" si="7"/>
        <v>0.16000000000000003</v>
      </c>
      <c r="D14" s="34">
        <f t="shared" si="7"/>
        <v>0.22000000000000003</v>
      </c>
      <c r="E14" s="34">
        <f t="shared" si="7"/>
        <v>0.30000000000000004</v>
      </c>
      <c r="F14" s="34">
        <f t="shared" si="7"/>
        <v>0.36000000000000004</v>
      </c>
      <c r="G14" s="34">
        <v>0.4</v>
      </c>
      <c r="H14" s="35"/>
      <c r="I14" s="155">
        <f t="shared" si="0"/>
        <v>0.07503856312731116</v>
      </c>
      <c r="J14" s="156">
        <f t="shared" si="1"/>
        <v>0.10317802430005284</v>
      </c>
      <c r="K14" s="156">
        <f t="shared" si="2"/>
        <v>0.14069730586370843</v>
      </c>
      <c r="L14" s="156">
        <f t="shared" si="3"/>
        <v>0.1688367670364501</v>
      </c>
      <c r="M14" s="157">
        <f t="shared" si="4"/>
        <v>0.18759640781827788</v>
      </c>
      <c r="N14" s="172"/>
      <c r="O14" s="173"/>
      <c r="P14" s="174">
        <f t="shared" si="8"/>
        <v>0.026799486831182554</v>
      </c>
      <c r="Q14" s="163">
        <f t="shared" si="5"/>
        <v>7.350205921565669</v>
      </c>
    </row>
    <row r="15" spans="1:17" ht="15">
      <c r="A15" s="151">
        <f t="shared" si="6"/>
        <v>36939</v>
      </c>
      <c r="B15" s="34">
        <v>0.5403592181722134</v>
      </c>
      <c r="C15" s="34">
        <f t="shared" si="7"/>
        <v>0.16000000000000003</v>
      </c>
      <c r="D15" s="34">
        <f t="shared" si="7"/>
        <v>0.22000000000000003</v>
      </c>
      <c r="E15" s="34">
        <f t="shared" si="7"/>
        <v>0.30000000000000004</v>
      </c>
      <c r="F15" s="34">
        <f t="shared" si="7"/>
        <v>0.36000000000000004</v>
      </c>
      <c r="G15" s="34">
        <v>0.4</v>
      </c>
      <c r="H15" s="35"/>
      <c r="I15" s="155">
        <f t="shared" si="0"/>
        <v>0.08645747490755416</v>
      </c>
      <c r="J15" s="156">
        <f t="shared" si="1"/>
        <v>0.11887902799788697</v>
      </c>
      <c r="K15" s="156">
        <f t="shared" si="2"/>
        <v>0.16210776545166405</v>
      </c>
      <c r="L15" s="156">
        <f t="shared" si="3"/>
        <v>0.19452931854199687</v>
      </c>
      <c r="M15" s="157">
        <f t="shared" si="4"/>
        <v>0.2161436872688854</v>
      </c>
      <c r="N15" s="172"/>
      <c r="O15" s="173"/>
      <c r="P15" s="174">
        <f t="shared" si="8"/>
        <v>0.030877669609840768</v>
      </c>
      <c r="Q15" s="163">
        <f t="shared" si="5"/>
        <v>8.468715518325661</v>
      </c>
    </row>
    <row r="16" spans="1:17" ht="15">
      <c r="A16" s="151">
        <f t="shared" si="6"/>
        <v>36946</v>
      </c>
      <c r="B16" s="34">
        <v>0.6117274167987321</v>
      </c>
      <c r="C16" s="34">
        <f t="shared" si="7"/>
        <v>0.16000000000000003</v>
      </c>
      <c r="D16" s="34">
        <f t="shared" si="7"/>
        <v>0.22000000000000003</v>
      </c>
      <c r="E16" s="34">
        <f t="shared" si="7"/>
        <v>0.30000000000000004</v>
      </c>
      <c r="F16" s="34">
        <f t="shared" si="7"/>
        <v>0.36000000000000004</v>
      </c>
      <c r="G16" s="34">
        <v>0.4</v>
      </c>
      <c r="H16" s="35"/>
      <c r="I16" s="155">
        <f t="shared" si="0"/>
        <v>0.09787638668779716</v>
      </c>
      <c r="J16" s="156">
        <f t="shared" si="1"/>
        <v>0.13458003169572108</v>
      </c>
      <c r="K16" s="156">
        <f t="shared" si="2"/>
        <v>0.18351822503961965</v>
      </c>
      <c r="L16" s="156">
        <f t="shared" si="3"/>
        <v>0.2202218700475436</v>
      </c>
      <c r="M16" s="157">
        <f t="shared" si="4"/>
        <v>0.24469096671949286</v>
      </c>
      <c r="N16" s="172"/>
      <c r="O16" s="173"/>
      <c r="P16" s="174">
        <f t="shared" si="8"/>
        <v>0.03495585238849898</v>
      </c>
      <c r="Q16" s="163">
        <f t="shared" si="5"/>
        <v>9.587225115085655</v>
      </c>
    </row>
    <row r="17" spans="1:17" ht="15">
      <c r="A17" s="151">
        <f t="shared" si="6"/>
        <v>36953</v>
      </c>
      <c r="B17" s="34">
        <v>0.6932910723718965</v>
      </c>
      <c r="C17" s="34">
        <f t="shared" si="7"/>
        <v>0.168</v>
      </c>
      <c r="D17" s="34">
        <f t="shared" si="7"/>
        <v>0.231</v>
      </c>
      <c r="E17" s="34">
        <f t="shared" si="7"/>
        <v>0.315</v>
      </c>
      <c r="F17" s="34">
        <f t="shared" si="7"/>
        <v>0.378</v>
      </c>
      <c r="G17" s="34">
        <v>0.42</v>
      </c>
      <c r="H17" s="35"/>
      <c r="I17" s="155">
        <f t="shared" si="0"/>
        <v>0.11647290015847861</v>
      </c>
      <c r="J17" s="156">
        <f t="shared" si="1"/>
        <v>0.1601502377179081</v>
      </c>
      <c r="K17" s="156">
        <f t="shared" si="2"/>
        <v>0.2183866877971474</v>
      </c>
      <c r="L17" s="156">
        <f t="shared" si="3"/>
        <v>0.26206402535657686</v>
      </c>
      <c r="M17" s="157">
        <f t="shared" si="4"/>
        <v>0.2911822503961965</v>
      </c>
      <c r="N17" s="172" t="s">
        <v>101</v>
      </c>
      <c r="O17" s="173">
        <f>SUM(M13:M17)-2*P17</f>
        <v>1.0236238774432116</v>
      </c>
      <c r="P17" s="174">
        <f t="shared" si="8"/>
        <v>0.04159746434231378</v>
      </c>
      <c r="Q17" s="163">
        <f t="shared" si="5"/>
        <v>11.408797886951929</v>
      </c>
    </row>
    <row r="18" spans="1:17" ht="15">
      <c r="A18" s="151">
        <f t="shared" si="6"/>
        <v>36960</v>
      </c>
      <c r="B18" s="34">
        <v>0.7850501848917063</v>
      </c>
      <c r="C18" s="34">
        <f t="shared" si="7"/>
        <v>0.24567741935483878</v>
      </c>
      <c r="D18" s="34">
        <f t="shared" si="7"/>
        <v>0.33780645161290335</v>
      </c>
      <c r="E18" s="34">
        <f t="shared" si="7"/>
        <v>0.46064516129032274</v>
      </c>
      <c r="F18" s="34">
        <f t="shared" si="7"/>
        <v>0.5527741935483873</v>
      </c>
      <c r="G18" s="34">
        <v>0.6141935483870969</v>
      </c>
      <c r="H18" s="35"/>
      <c r="I18" s="155">
        <f t="shared" si="0"/>
        <v>0.19286910348823344</v>
      </c>
      <c r="J18" s="156">
        <f t="shared" si="1"/>
        <v>0.265195017296321</v>
      </c>
      <c r="K18" s="156">
        <f t="shared" si="2"/>
        <v>0.36162956904043775</v>
      </c>
      <c r="L18" s="156">
        <f t="shared" si="3"/>
        <v>0.4339554828485253</v>
      </c>
      <c r="M18" s="157">
        <f t="shared" si="4"/>
        <v>0.4821727587205836</v>
      </c>
      <c r="N18" s="172"/>
      <c r="O18" s="173"/>
      <c r="P18" s="174">
        <f t="shared" si="8"/>
        <v>0.06888182267436908</v>
      </c>
      <c r="Q18" s="163">
        <f t="shared" si="5"/>
        <v>18.89198789882363</v>
      </c>
    </row>
    <row r="19" spans="1:17" ht="15">
      <c r="A19" s="151">
        <f t="shared" si="6"/>
        <v>36967</v>
      </c>
      <c r="B19" s="34">
        <v>0.8870047543581616</v>
      </c>
      <c r="C19" s="34">
        <f t="shared" si="7"/>
        <v>0.256</v>
      </c>
      <c r="D19" s="34">
        <f t="shared" si="7"/>
        <v>0.35200000000000004</v>
      </c>
      <c r="E19" s="34">
        <f t="shared" si="7"/>
        <v>0.48</v>
      </c>
      <c r="F19" s="34">
        <f t="shared" si="7"/>
        <v>0.5760000000000001</v>
      </c>
      <c r="G19" s="34">
        <v>0.64</v>
      </c>
      <c r="H19" s="35"/>
      <c r="I19" s="155">
        <f t="shared" si="0"/>
        <v>0.22707321711568937</v>
      </c>
      <c r="J19" s="156">
        <f t="shared" si="1"/>
        <v>0.31222567353407293</v>
      </c>
      <c r="K19" s="156">
        <f t="shared" si="2"/>
        <v>0.4257622820919176</v>
      </c>
      <c r="L19" s="156">
        <f t="shared" si="3"/>
        <v>0.5109147385103011</v>
      </c>
      <c r="M19" s="157">
        <f t="shared" si="4"/>
        <v>0.5676830427892234</v>
      </c>
      <c r="N19" s="172"/>
      <c r="O19" s="173"/>
      <c r="P19" s="174">
        <f t="shared" si="8"/>
        <v>0.08109757754131763</v>
      </c>
      <c r="Q19" s="163">
        <f t="shared" si="5"/>
        <v>22.242362266998718</v>
      </c>
    </row>
    <row r="20" spans="1:17" ht="15">
      <c r="A20" s="151">
        <f t="shared" si="6"/>
        <v>36974</v>
      </c>
      <c r="B20" s="34">
        <v>0.9787638668779715</v>
      </c>
      <c r="C20" s="34">
        <f t="shared" si="7"/>
        <v>0.2665316455696202</v>
      </c>
      <c r="D20" s="34">
        <f t="shared" si="7"/>
        <v>0.36648101265822786</v>
      </c>
      <c r="E20" s="34">
        <f t="shared" si="7"/>
        <v>0.49974683544303794</v>
      </c>
      <c r="F20" s="34">
        <f t="shared" si="7"/>
        <v>0.5996962025316456</v>
      </c>
      <c r="G20" s="34">
        <v>0.6663291139240506</v>
      </c>
      <c r="H20" s="35"/>
      <c r="I20" s="155">
        <f t="shared" si="0"/>
        <v>0.26087154406307045</v>
      </c>
      <c r="J20" s="156">
        <f t="shared" si="1"/>
        <v>0.3586983730867219</v>
      </c>
      <c r="K20" s="156">
        <f t="shared" si="2"/>
        <v>0.4891341451182571</v>
      </c>
      <c r="L20" s="156">
        <f t="shared" si="3"/>
        <v>0.5869609741419085</v>
      </c>
      <c r="M20" s="157">
        <f t="shared" si="4"/>
        <v>0.6521788601576761</v>
      </c>
      <c r="N20" s="172"/>
      <c r="O20" s="173"/>
      <c r="P20" s="174">
        <f t="shared" si="8"/>
        <v>0.09316840859395373</v>
      </c>
      <c r="Q20" s="163">
        <f t="shared" si="5"/>
        <v>25.55298886370171</v>
      </c>
    </row>
    <row r="21" spans="1:17" ht="15">
      <c r="A21" s="151">
        <f t="shared" si="6"/>
        <v>36981</v>
      </c>
      <c r="B21" s="34">
        <v>1.0909138932910725</v>
      </c>
      <c r="C21" s="34">
        <f t="shared" si="7"/>
        <v>0.28651162790697676</v>
      </c>
      <c r="D21" s="34">
        <f t="shared" si="7"/>
        <v>0.3939534883720931</v>
      </c>
      <c r="E21" s="34">
        <f t="shared" si="7"/>
        <v>0.5372093023255815</v>
      </c>
      <c r="F21" s="34">
        <f t="shared" si="7"/>
        <v>0.6446511627906978</v>
      </c>
      <c r="G21" s="34">
        <v>0.7162790697674419</v>
      </c>
      <c r="H21" s="35"/>
      <c r="I21" s="155">
        <f t="shared" si="0"/>
        <v>0.31255951547316313</v>
      </c>
      <c r="J21" s="156">
        <f t="shared" si="1"/>
        <v>0.42976933377559934</v>
      </c>
      <c r="K21" s="156">
        <f t="shared" si="2"/>
        <v>0.5860490915121809</v>
      </c>
      <c r="L21" s="156">
        <f t="shared" si="3"/>
        <v>0.703258909814617</v>
      </c>
      <c r="M21" s="157">
        <f t="shared" si="4"/>
        <v>0.7813987886829078</v>
      </c>
      <c r="N21" s="172" t="s">
        <v>102</v>
      </c>
      <c r="O21" s="173">
        <f>SUM(M18:M21)+2*P17</f>
        <v>2.5666283790350186</v>
      </c>
      <c r="P21" s="174">
        <f t="shared" si="8"/>
        <v>0.11162839838327254</v>
      </c>
      <c r="Q21" s="163">
        <f t="shared" si="5"/>
        <v>30.615948729918887</v>
      </c>
    </row>
    <row r="22" spans="1:17" ht="15">
      <c r="A22" s="151">
        <f t="shared" si="6"/>
        <v>36988</v>
      </c>
      <c r="B22" s="34">
        <v>1.1928684627575277</v>
      </c>
      <c r="C22" s="34">
        <f t="shared" si="7"/>
        <v>0.2954893617021277</v>
      </c>
      <c r="D22" s="34">
        <f t="shared" si="7"/>
        <v>0.40629787234042564</v>
      </c>
      <c r="E22" s="34">
        <f t="shared" si="7"/>
        <v>0.5540425531914894</v>
      </c>
      <c r="F22" s="34">
        <f t="shared" si="7"/>
        <v>0.6648510638297873</v>
      </c>
      <c r="G22" s="34">
        <v>0.7387234042553192</v>
      </c>
      <c r="H22" s="35"/>
      <c r="I22" s="155">
        <f t="shared" si="0"/>
        <v>0.35247994065482013</v>
      </c>
      <c r="J22" s="156">
        <f t="shared" si="1"/>
        <v>0.48465991840037775</v>
      </c>
      <c r="K22" s="156">
        <f t="shared" si="2"/>
        <v>0.6608998887277877</v>
      </c>
      <c r="L22" s="156">
        <f t="shared" si="3"/>
        <v>0.7930798664733453</v>
      </c>
      <c r="M22" s="157">
        <f t="shared" si="4"/>
        <v>0.8811998516370503</v>
      </c>
      <c r="N22" s="172"/>
      <c r="O22" s="173"/>
      <c r="P22" s="174">
        <f t="shared" si="8"/>
        <v>0.1258856930910072</v>
      </c>
      <c r="Q22" s="163">
        <f t="shared" si="5"/>
        <v>34.526249425093575</v>
      </c>
    </row>
    <row r="23" spans="1:17" ht="15">
      <c r="A23" s="151">
        <f t="shared" si="6"/>
        <v>36995</v>
      </c>
      <c r="B23" s="34">
        <v>1.315213946117274</v>
      </c>
      <c r="C23" s="34">
        <f t="shared" si="7"/>
        <v>0.30153846153846153</v>
      </c>
      <c r="D23" s="34">
        <f t="shared" si="7"/>
        <v>0.41461538461538466</v>
      </c>
      <c r="E23" s="34">
        <f t="shared" si="7"/>
        <v>0.5653846153846154</v>
      </c>
      <c r="F23" s="34">
        <f t="shared" si="7"/>
        <v>0.6784615384615384</v>
      </c>
      <c r="G23" s="34">
        <v>0.7538461538461538</v>
      </c>
      <c r="H23" s="35"/>
      <c r="I23" s="155">
        <f t="shared" si="0"/>
        <v>0.39658758990613185</v>
      </c>
      <c r="J23" s="156">
        <f t="shared" si="1"/>
        <v>0.5453079361209314</v>
      </c>
      <c r="K23" s="156">
        <f t="shared" si="2"/>
        <v>0.7436017310739972</v>
      </c>
      <c r="L23" s="156">
        <f t="shared" si="3"/>
        <v>0.8923220772887966</v>
      </c>
      <c r="M23" s="157">
        <f t="shared" si="4"/>
        <v>0.9914689747653297</v>
      </c>
      <c r="N23" s="172"/>
      <c r="O23" s="173"/>
      <c r="P23" s="174">
        <f t="shared" si="8"/>
        <v>0.14163842496647566</v>
      </c>
      <c r="Q23" s="163">
        <f t="shared" si="5"/>
        <v>38.84669868747206</v>
      </c>
    </row>
    <row r="24" spans="1:17" ht="15">
      <c r="A24" s="151">
        <f t="shared" si="6"/>
        <v>37002</v>
      </c>
      <c r="B24" s="34">
        <v>1.4069730586370839</v>
      </c>
      <c r="C24" s="34">
        <f t="shared" si="7"/>
        <v>0.32400000000000007</v>
      </c>
      <c r="D24" s="34">
        <f t="shared" si="7"/>
        <v>0.44550000000000006</v>
      </c>
      <c r="E24" s="34">
        <f t="shared" si="7"/>
        <v>0.6075</v>
      </c>
      <c r="F24" s="34">
        <f t="shared" si="7"/>
        <v>0.7290000000000001</v>
      </c>
      <c r="G24" s="34">
        <v>0.81</v>
      </c>
      <c r="H24" s="35"/>
      <c r="I24" s="155">
        <f t="shared" si="0"/>
        <v>0.4558592709984153</v>
      </c>
      <c r="J24" s="156">
        <f t="shared" si="1"/>
        <v>0.6268064976228209</v>
      </c>
      <c r="K24" s="156">
        <f t="shared" si="2"/>
        <v>0.8547361331220286</v>
      </c>
      <c r="L24" s="156">
        <f t="shared" si="3"/>
        <v>1.0256833597464343</v>
      </c>
      <c r="M24" s="157">
        <f t="shared" si="4"/>
        <v>1.139648177496038</v>
      </c>
      <c r="N24" s="172"/>
      <c r="O24" s="173"/>
      <c r="P24" s="174">
        <f t="shared" si="8"/>
        <v>0.162806882499434</v>
      </c>
      <c r="Q24" s="163">
        <f t="shared" si="5"/>
        <v>44.65250097351144</v>
      </c>
    </row>
    <row r="25" spans="1:17" ht="15">
      <c r="A25" s="151">
        <f t="shared" si="6"/>
        <v>37009</v>
      </c>
      <c r="B25" s="34">
        <v>1.4885367142102481</v>
      </c>
      <c r="C25" s="34">
        <f t="shared" si="7"/>
        <v>0.3332231404958679</v>
      </c>
      <c r="D25" s="34">
        <f t="shared" si="7"/>
        <v>0.4581818181818183</v>
      </c>
      <c r="E25" s="34">
        <f t="shared" si="7"/>
        <v>0.6247933884297522</v>
      </c>
      <c r="F25" s="34">
        <f t="shared" si="7"/>
        <v>0.7497520661157027</v>
      </c>
      <c r="G25" s="34">
        <v>0.8330578512396696</v>
      </c>
      <c r="H25" s="35"/>
      <c r="I25" s="155">
        <f t="shared" si="0"/>
        <v>0.496014878652539</v>
      </c>
      <c r="J25" s="156">
        <f t="shared" si="1"/>
        <v>0.6820204581472411</v>
      </c>
      <c r="K25" s="156">
        <f t="shared" si="2"/>
        <v>0.9300278974735106</v>
      </c>
      <c r="L25" s="156">
        <f t="shared" si="3"/>
        <v>1.1160334769682128</v>
      </c>
      <c r="M25" s="157">
        <f t="shared" si="4"/>
        <v>1.2400371966313475</v>
      </c>
      <c r="N25" s="172" t="s">
        <v>103</v>
      </c>
      <c r="O25" s="173">
        <f>SUM(M22:M25)+2*P26</f>
        <v>4.643859747280954</v>
      </c>
      <c r="P25" s="174">
        <f t="shared" si="8"/>
        <v>0.17714817094733534</v>
      </c>
      <c r="Q25" s="163">
        <f t="shared" si="5"/>
        <v>48.58583835182251</v>
      </c>
    </row>
    <row r="26" spans="1:17" ht="15">
      <c r="A26" s="151">
        <f t="shared" si="6"/>
        <v>37016</v>
      </c>
      <c r="B26" s="34">
        <v>1.5904912836767036</v>
      </c>
      <c r="C26" s="34">
        <f t="shared" si="7"/>
        <v>0.34461538461538466</v>
      </c>
      <c r="D26" s="34">
        <f t="shared" si="7"/>
        <v>0.4738461538461539</v>
      </c>
      <c r="E26" s="34">
        <f t="shared" si="7"/>
        <v>0.6461538461538462</v>
      </c>
      <c r="F26" s="34">
        <f t="shared" si="7"/>
        <v>0.7753846153846154</v>
      </c>
      <c r="G26" s="34">
        <v>0.8615384615384616</v>
      </c>
      <c r="H26" s="35"/>
      <c r="I26" s="155">
        <f t="shared" si="0"/>
        <v>0.5481077654516641</v>
      </c>
      <c r="J26" s="156">
        <f t="shared" si="1"/>
        <v>0.7536481774960381</v>
      </c>
      <c r="K26" s="156">
        <f t="shared" si="2"/>
        <v>1.02770206022187</v>
      </c>
      <c r="L26" s="156">
        <f t="shared" si="3"/>
        <v>1.233242472266244</v>
      </c>
      <c r="M26" s="157">
        <f t="shared" si="4"/>
        <v>1.37026941362916</v>
      </c>
      <c r="N26" s="172"/>
      <c r="O26" s="173"/>
      <c r="P26" s="174">
        <f t="shared" si="8"/>
        <v>0.1957527733755943</v>
      </c>
      <c r="Q26" s="163">
        <f t="shared" si="5"/>
        <v>53.68846064447966</v>
      </c>
    </row>
    <row r="27" spans="1:17" ht="15">
      <c r="A27" s="151">
        <f t="shared" si="6"/>
        <v>37023</v>
      </c>
      <c r="B27" s="34">
        <v>1.6618594823032222</v>
      </c>
      <c r="C27" s="34">
        <f t="shared" si="7"/>
        <v>0.3616000000000001</v>
      </c>
      <c r="D27" s="34">
        <f t="shared" si="7"/>
        <v>0.49720000000000014</v>
      </c>
      <c r="E27" s="34">
        <f t="shared" si="7"/>
        <v>0.6780000000000002</v>
      </c>
      <c r="F27" s="34">
        <f t="shared" si="7"/>
        <v>0.8136000000000001</v>
      </c>
      <c r="G27" s="34">
        <v>0.9040000000000001</v>
      </c>
      <c r="H27" s="35"/>
      <c r="I27" s="155">
        <f t="shared" si="0"/>
        <v>0.6009283888008453</v>
      </c>
      <c r="J27" s="156">
        <f t="shared" si="1"/>
        <v>0.8262765346011623</v>
      </c>
      <c r="K27" s="156">
        <f t="shared" si="2"/>
        <v>1.126740729001585</v>
      </c>
      <c r="L27" s="156">
        <f t="shared" si="3"/>
        <v>1.3520888748019018</v>
      </c>
      <c r="M27" s="157">
        <f t="shared" si="4"/>
        <v>1.5023209720021131</v>
      </c>
      <c r="N27" s="172"/>
      <c r="O27" s="173"/>
      <c r="P27" s="174">
        <f t="shared" si="8"/>
        <v>0.21461728171458758</v>
      </c>
      <c r="Q27" s="163">
        <f t="shared" si="5"/>
        <v>58.86236646492089</v>
      </c>
    </row>
    <row r="28" spans="1:17" ht="15">
      <c r="A28" s="151">
        <f t="shared" si="6"/>
        <v>37030</v>
      </c>
      <c r="B28" s="34">
        <v>1.733227680929741</v>
      </c>
      <c r="C28" s="34">
        <f t="shared" si="7"/>
        <v>0.3753513513513514</v>
      </c>
      <c r="D28" s="34">
        <f t="shared" si="7"/>
        <v>0.5161081081081081</v>
      </c>
      <c r="E28" s="34">
        <f t="shared" si="7"/>
        <v>0.7037837837837838</v>
      </c>
      <c r="F28" s="34">
        <f t="shared" si="7"/>
        <v>0.8445405405405406</v>
      </c>
      <c r="G28" s="34">
        <v>0.9383783783783785</v>
      </c>
      <c r="H28" s="35"/>
      <c r="I28" s="155">
        <f t="shared" si="0"/>
        <v>0.6505693522365472</v>
      </c>
      <c r="J28" s="156">
        <f t="shared" si="1"/>
        <v>0.8945328593252524</v>
      </c>
      <c r="K28" s="156">
        <f t="shared" si="2"/>
        <v>1.219817535443526</v>
      </c>
      <c r="L28" s="156">
        <f t="shared" si="3"/>
        <v>1.4637810425322313</v>
      </c>
      <c r="M28" s="157">
        <f t="shared" si="4"/>
        <v>1.626423380591368</v>
      </c>
      <c r="N28" s="172"/>
      <c r="O28" s="173"/>
      <c r="P28" s="174">
        <f t="shared" si="8"/>
        <v>0.23234619722733826</v>
      </c>
      <c r="Q28" s="163">
        <f t="shared" si="5"/>
        <v>63.72481702621798</v>
      </c>
    </row>
    <row r="29" spans="1:17" ht="15">
      <c r="A29" s="151">
        <f t="shared" si="6"/>
        <v>37037</v>
      </c>
      <c r="B29" s="34">
        <v>1.7842049656629688</v>
      </c>
      <c r="C29" s="34">
        <f t="shared" si="7"/>
        <v>0.3848205128205129</v>
      </c>
      <c r="D29" s="34">
        <f t="shared" si="7"/>
        <v>0.5291282051282052</v>
      </c>
      <c r="E29" s="34">
        <f t="shared" si="7"/>
        <v>0.7215384615384617</v>
      </c>
      <c r="F29" s="34">
        <f t="shared" si="7"/>
        <v>0.865846153846154</v>
      </c>
      <c r="G29" s="34">
        <v>0.9620512820512822</v>
      </c>
      <c r="H29" s="35"/>
      <c r="I29" s="155">
        <f t="shared" si="0"/>
        <v>0.6865986698633293</v>
      </c>
      <c r="J29" s="156">
        <f t="shared" si="1"/>
        <v>0.9440731710620778</v>
      </c>
      <c r="K29" s="156">
        <f t="shared" si="2"/>
        <v>1.2873725059937424</v>
      </c>
      <c r="L29" s="156">
        <f t="shared" si="3"/>
        <v>1.544847007192491</v>
      </c>
      <c r="M29" s="157">
        <f t="shared" si="4"/>
        <v>1.716496674658323</v>
      </c>
      <c r="N29" s="172"/>
      <c r="O29" s="173"/>
      <c r="P29" s="174">
        <f t="shared" si="8"/>
        <v>0.2452138106654747</v>
      </c>
      <c r="Q29" s="163">
        <f t="shared" si="5"/>
        <v>67.25397447185087</v>
      </c>
    </row>
    <row r="30" spans="1:17" ht="15">
      <c r="A30" s="151">
        <f t="shared" si="6"/>
        <v>37044</v>
      </c>
      <c r="B30" s="34">
        <v>1.8453777073428421</v>
      </c>
      <c r="C30" s="34">
        <f t="shared" si="7"/>
        <v>0.39028220858895707</v>
      </c>
      <c r="D30" s="34">
        <f t="shared" si="7"/>
        <v>0.536638036809816</v>
      </c>
      <c r="E30" s="34">
        <f t="shared" si="7"/>
        <v>0.7317791411042944</v>
      </c>
      <c r="F30" s="34">
        <f t="shared" si="7"/>
        <v>0.8781349693251534</v>
      </c>
      <c r="G30" s="34">
        <v>0.9757055214723926</v>
      </c>
      <c r="H30" s="35"/>
      <c r="I30" s="155">
        <f t="shared" si="0"/>
        <v>0.7202180873025905</v>
      </c>
      <c r="J30" s="156">
        <f t="shared" si="1"/>
        <v>0.990299870041062</v>
      </c>
      <c r="K30" s="156">
        <f t="shared" si="2"/>
        <v>1.350408913692357</v>
      </c>
      <c r="L30" s="156">
        <f t="shared" si="3"/>
        <v>1.6204906964308288</v>
      </c>
      <c r="M30" s="157">
        <f t="shared" si="4"/>
        <v>1.800545218256476</v>
      </c>
      <c r="N30" s="172" t="s">
        <v>17</v>
      </c>
      <c r="O30" s="173">
        <f>SUM(M26:M30)-2*P30-2*P25</f>
        <v>7.147317826312349</v>
      </c>
      <c r="P30" s="174">
        <f t="shared" si="8"/>
        <v>0.25722074546521084</v>
      </c>
      <c r="Q30" s="163">
        <f t="shared" si="5"/>
        <v>70.54707645625851</v>
      </c>
    </row>
    <row r="31" spans="1:17" ht="15">
      <c r="A31" s="151">
        <f t="shared" si="6"/>
        <v>37051</v>
      </c>
      <c r="B31" s="34">
        <v>1.8555731642894875</v>
      </c>
      <c r="C31" s="34">
        <f t="shared" si="7"/>
        <v>0.39529411764705885</v>
      </c>
      <c r="D31" s="34">
        <f t="shared" si="7"/>
        <v>0.5435294117647059</v>
      </c>
      <c r="E31" s="34">
        <f t="shared" si="7"/>
        <v>0.7411764705882353</v>
      </c>
      <c r="F31" s="34">
        <f t="shared" si="7"/>
        <v>0.8894117647058825</v>
      </c>
      <c r="G31" s="34">
        <v>0.9882352941176471</v>
      </c>
      <c r="H31" s="35"/>
      <c r="I31" s="155">
        <f t="shared" si="0"/>
        <v>0.7334971567073739</v>
      </c>
      <c r="J31" s="156">
        <f t="shared" si="1"/>
        <v>1.008558590472639</v>
      </c>
      <c r="K31" s="156">
        <f t="shared" si="2"/>
        <v>1.375307168826326</v>
      </c>
      <c r="L31" s="156">
        <f t="shared" si="3"/>
        <v>1.6503686025915913</v>
      </c>
      <c r="M31" s="157">
        <f t="shared" si="4"/>
        <v>1.8337428917684349</v>
      </c>
      <c r="N31" s="172"/>
      <c r="O31" s="173"/>
      <c r="P31" s="174">
        <f t="shared" si="8"/>
        <v>0.26196327025263355</v>
      </c>
      <c r="Q31" s="163">
        <f t="shared" si="5"/>
        <v>71.84779292128897</v>
      </c>
    </row>
    <row r="32" spans="1:17" ht="15">
      <c r="A32" s="151">
        <f t="shared" si="6"/>
        <v>37058</v>
      </c>
      <c r="B32" s="34">
        <v>1.8963549920760698</v>
      </c>
      <c r="C32" s="34">
        <f t="shared" si="7"/>
        <v>0.40727272727272734</v>
      </c>
      <c r="D32" s="34">
        <f t="shared" si="7"/>
        <v>0.5600000000000002</v>
      </c>
      <c r="E32" s="34">
        <f t="shared" si="7"/>
        <v>0.7636363636363637</v>
      </c>
      <c r="F32" s="34">
        <f t="shared" si="7"/>
        <v>0.9163636363636365</v>
      </c>
      <c r="G32" s="34">
        <v>1.0181818181818183</v>
      </c>
      <c r="H32" s="35"/>
      <c r="I32" s="155">
        <f t="shared" si="0"/>
        <v>0.7723336695000722</v>
      </c>
      <c r="J32" s="156">
        <f t="shared" si="1"/>
        <v>1.0619587955625993</v>
      </c>
      <c r="K32" s="156">
        <f t="shared" si="2"/>
        <v>1.4481256303126353</v>
      </c>
      <c r="L32" s="156">
        <f t="shared" si="3"/>
        <v>1.7377507563751624</v>
      </c>
      <c r="M32" s="157">
        <f t="shared" si="4"/>
        <v>1.9308341737501804</v>
      </c>
      <c r="N32" s="172"/>
      <c r="O32" s="173"/>
      <c r="P32" s="174">
        <f t="shared" si="8"/>
        <v>0.2758334533928829</v>
      </c>
      <c r="Q32" s="163">
        <f t="shared" si="5"/>
        <v>75.65192181722136</v>
      </c>
    </row>
    <row r="33" spans="1:17" ht="15">
      <c r="A33" s="151">
        <f t="shared" si="6"/>
        <v>37065</v>
      </c>
      <c r="B33" s="34">
        <v>1.9269413629160062</v>
      </c>
      <c r="C33" s="34">
        <f t="shared" si="7"/>
        <v>0.42046927374301674</v>
      </c>
      <c r="D33" s="34">
        <f t="shared" si="7"/>
        <v>0.5781452513966481</v>
      </c>
      <c r="E33" s="34">
        <f t="shared" si="7"/>
        <v>0.7883798882681563</v>
      </c>
      <c r="F33" s="34">
        <f t="shared" si="7"/>
        <v>0.9460558659217877</v>
      </c>
      <c r="G33" s="34">
        <v>1.0511731843575418</v>
      </c>
      <c r="H33" s="35"/>
      <c r="I33" s="155">
        <f t="shared" si="0"/>
        <v>0.810219635410672</v>
      </c>
      <c r="J33" s="156">
        <f t="shared" si="1"/>
        <v>1.114051998689674</v>
      </c>
      <c r="K33" s="156">
        <f t="shared" si="2"/>
        <v>1.5191618163950098</v>
      </c>
      <c r="L33" s="156">
        <f t="shared" si="3"/>
        <v>1.822994179674012</v>
      </c>
      <c r="M33" s="157">
        <f t="shared" si="4"/>
        <v>2.02554908852668</v>
      </c>
      <c r="N33" s="172"/>
      <c r="O33" s="173"/>
      <c r="P33" s="174">
        <f t="shared" si="8"/>
        <v>0.28936415550381145</v>
      </c>
      <c r="Q33" s="163">
        <f t="shared" si="5"/>
        <v>79.36294238284533</v>
      </c>
    </row>
    <row r="34" spans="1:17" ht="15">
      <c r="A34" s="151">
        <f t="shared" si="6"/>
        <v>37072</v>
      </c>
      <c r="B34" s="34">
        <v>1.9269413629160062</v>
      </c>
      <c r="C34" s="34">
        <f t="shared" si="7"/>
        <v>0.4257237569060774</v>
      </c>
      <c r="D34" s="34">
        <f t="shared" si="7"/>
        <v>0.5853701657458564</v>
      </c>
      <c r="E34" s="34">
        <f t="shared" si="7"/>
        <v>0.798232044198895</v>
      </c>
      <c r="F34" s="34">
        <f t="shared" si="7"/>
        <v>0.957878453038674</v>
      </c>
      <c r="G34" s="34">
        <v>1.0643093922651934</v>
      </c>
      <c r="H34" s="35"/>
      <c r="I34" s="155">
        <f t="shared" si="0"/>
        <v>0.8203447163583193</v>
      </c>
      <c r="J34" s="156">
        <f t="shared" si="1"/>
        <v>1.127973984992689</v>
      </c>
      <c r="K34" s="156">
        <f t="shared" si="2"/>
        <v>1.5381463431718485</v>
      </c>
      <c r="L34" s="156">
        <f t="shared" si="3"/>
        <v>1.845775611806218</v>
      </c>
      <c r="M34" s="157">
        <f t="shared" si="4"/>
        <v>2.050861790895798</v>
      </c>
      <c r="N34" s="172" t="s">
        <v>104</v>
      </c>
      <c r="O34" s="173">
        <f>SUM(M31:M34)+2*P30</f>
        <v>8.355429435871516</v>
      </c>
      <c r="P34" s="174">
        <f t="shared" si="8"/>
        <v>0.29298025584225684</v>
      </c>
      <c r="Q34" s="163">
        <f t="shared" si="5"/>
        <v>80.35471816900296</v>
      </c>
    </row>
    <row r="35" spans="1:17" ht="15">
      <c r="A35" s="151">
        <f t="shared" si="6"/>
        <v>37079</v>
      </c>
      <c r="B35" s="34">
        <v>1.9269413629160062</v>
      </c>
      <c r="C35" s="34">
        <f t="shared" si="7"/>
        <v>0.4306740331491713</v>
      </c>
      <c r="D35" s="34">
        <f t="shared" si="7"/>
        <v>0.5921767955801106</v>
      </c>
      <c r="E35" s="34">
        <f t="shared" si="7"/>
        <v>0.8075138121546961</v>
      </c>
      <c r="F35" s="34">
        <f t="shared" si="7"/>
        <v>0.9690165745856354</v>
      </c>
      <c r="G35" s="34">
        <v>1.0766850828729282</v>
      </c>
      <c r="H35" s="35"/>
      <c r="I35" s="155">
        <f t="shared" si="0"/>
        <v>0.8298836084089973</v>
      </c>
      <c r="J35" s="156">
        <f t="shared" si="1"/>
        <v>1.1410899615623715</v>
      </c>
      <c r="K35" s="156">
        <f t="shared" si="2"/>
        <v>1.5560317657668699</v>
      </c>
      <c r="L35" s="156">
        <f t="shared" si="3"/>
        <v>1.867238118920244</v>
      </c>
      <c r="M35" s="157">
        <f t="shared" si="4"/>
        <v>2.0747090210224934</v>
      </c>
      <c r="N35" s="172"/>
      <c r="O35" s="173"/>
      <c r="P35" s="174">
        <f t="shared" si="8"/>
        <v>0.29638700300321336</v>
      </c>
      <c r="Q35" s="163">
        <f t="shared" si="5"/>
        <v>81.28907535701465</v>
      </c>
    </row>
    <row r="36" spans="1:17" ht="15">
      <c r="A36" s="151">
        <f t="shared" si="6"/>
        <v>37086</v>
      </c>
      <c r="B36" s="34">
        <v>1.9269413629160062</v>
      </c>
      <c r="C36" s="34">
        <f t="shared" si="7"/>
        <v>0.43048044692737436</v>
      </c>
      <c r="D36" s="34">
        <f t="shared" si="7"/>
        <v>0.5919106145251397</v>
      </c>
      <c r="E36" s="34">
        <f t="shared" si="7"/>
        <v>0.8071508379888268</v>
      </c>
      <c r="F36" s="34">
        <f t="shared" si="7"/>
        <v>0.9685810055865922</v>
      </c>
      <c r="G36" s="34">
        <v>1.0762011173184358</v>
      </c>
      <c r="H36" s="35"/>
      <c r="I36" s="155">
        <f t="shared" si="0"/>
        <v>0.8295105791109262</v>
      </c>
      <c r="J36" s="156">
        <f t="shared" si="1"/>
        <v>1.1405770462775235</v>
      </c>
      <c r="K36" s="156">
        <f t="shared" si="2"/>
        <v>1.5553323358329865</v>
      </c>
      <c r="L36" s="156">
        <f t="shared" si="3"/>
        <v>1.8663988029995837</v>
      </c>
      <c r="M36" s="157">
        <f t="shared" si="4"/>
        <v>2.0737764477773153</v>
      </c>
      <c r="N36" s="172"/>
      <c r="O36" s="173"/>
      <c r="P36" s="174">
        <f t="shared" si="8"/>
        <v>0.2962537782539022</v>
      </c>
      <c r="Q36" s="163">
        <f t="shared" si="5"/>
        <v>81.25253624910358</v>
      </c>
    </row>
    <row r="37" spans="1:17" ht="15">
      <c r="A37" s="151">
        <f t="shared" si="6"/>
        <v>37093</v>
      </c>
      <c r="B37" s="34">
        <v>1.8555731642894875</v>
      </c>
      <c r="C37" s="34">
        <f t="shared" si="7"/>
        <v>0.4301818181818182</v>
      </c>
      <c r="D37" s="34">
        <f t="shared" si="7"/>
        <v>0.5915</v>
      </c>
      <c r="E37" s="34">
        <f t="shared" si="7"/>
        <v>0.8065909090909091</v>
      </c>
      <c r="F37" s="34">
        <f t="shared" si="7"/>
        <v>0.9679090909090909</v>
      </c>
      <c r="G37" s="34">
        <v>1.0754545454545454</v>
      </c>
      <c r="H37" s="35"/>
      <c r="I37" s="155">
        <f t="shared" si="0"/>
        <v>0.7982338375834415</v>
      </c>
      <c r="J37" s="156">
        <f t="shared" si="1"/>
        <v>1.097571526677232</v>
      </c>
      <c r="K37" s="156">
        <f t="shared" si="2"/>
        <v>1.4966884454689526</v>
      </c>
      <c r="L37" s="156">
        <f t="shared" si="3"/>
        <v>1.796026134562743</v>
      </c>
      <c r="M37" s="157">
        <f t="shared" si="4"/>
        <v>1.9955845939586034</v>
      </c>
      <c r="N37" s="172"/>
      <c r="O37" s="173"/>
      <c r="P37" s="174">
        <f t="shared" si="8"/>
        <v>0.28508351342265764</v>
      </c>
      <c r="Q37" s="163">
        <f t="shared" si="5"/>
        <v>78.18890494805426</v>
      </c>
    </row>
    <row r="38" spans="1:17" ht="15">
      <c r="A38" s="151">
        <f t="shared" si="6"/>
        <v>37100</v>
      </c>
      <c r="B38" s="34">
        <v>1.8555731642894875</v>
      </c>
      <c r="C38" s="34">
        <f t="shared" si="7"/>
        <v>0.4297674418604651</v>
      </c>
      <c r="D38" s="34">
        <f t="shared" si="7"/>
        <v>0.5909302325581396</v>
      </c>
      <c r="E38" s="34">
        <f t="shared" si="7"/>
        <v>0.8058139534883721</v>
      </c>
      <c r="F38" s="34">
        <f t="shared" si="7"/>
        <v>0.9669767441860465</v>
      </c>
      <c r="G38" s="34">
        <v>1.0744186046511628</v>
      </c>
      <c r="H38" s="35"/>
      <c r="I38" s="155">
        <f t="shared" si="0"/>
        <v>0.7974649320016216</v>
      </c>
      <c r="J38" s="156">
        <f t="shared" si="1"/>
        <v>1.0965142815022297</v>
      </c>
      <c r="K38" s="156">
        <f t="shared" si="2"/>
        <v>1.4952467475030407</v>
      </c>
      <c r="L38" s="156">
        <f t="shared" si="3"/>
        <v>1.7942960970036486</v>
      </c>
      <c r="M38" s="157">
        <f t="shared" si="4"/>
        <v>1.993662330004054</v>
      </c>
      <c r="N38" s="172" t="s">
        <v>105</v>
      </c>
      <c r="O38" s="173">
        <f>SUM(M35:M38)+3*P39</f>
        <v>8.957817875161735</v>
      </c>
      <c r="P38" s="174">
        <f t="shared" si="8"/>
        <v>0.2848089042862934</v>
      </c>
      <c r="Q38" s="163">
        <f t="shared" si="5"/>
        <v>78.1135888155874</v>
      </c>
    </row>
    <row r="39" spans="1:17" ht="15">
      <c r="A39" s="151">
        <f t="shared" si="6"/>
        <v>37107</v>
      </c>
      <c r="B39" s="34">
        <v>1.7842049656629688</v>
      </c>
      <c r="C39" s="34">
        <f t="shared" si="7"/>
        <v>0.4289939393939395</v>
      </c>
      <c r="D39" s="34">
        <f t="shared" si="7"/>
        <v>0.5898666666666668</v>
      </c>
      <c r="E39" s="34">
        <f t="shared" si="7"/>
        <v>0.8043636363636364</v>
      </c>
      <c r="F39" s="34">
        <f t="shared" si="7"/>
        <v>0.9652363636363638</v>
      </c>
      <c r="G39" s="34">
        <v>1.0724848484848486</v>
      </c>
      <c r="H39" s="35"/>
      <c r="I39" s="155">
        <f t="shared" si="0"/>
        <v>0.7654131169059856</v>
      </c>
      <c r="J39" s="156">
        <f t="shared" si="1"/>
        <v>1.05244303574573</v>
      </c>
      <c r="K39" s="156">
        <f t="shared" si="2"/>
        <v>1.4351495941987227</v>
      </c>
      <c r="L39" s="156">
        <f t="shared" si="3"/>
        <v>1.7221795130384674</v>
      </c>
      <c r="M39" s="157">
        <f t="shared" si="4"/>
        <v>1.9135327922649636</v>
      </c>
      <c r="N39" s="172"/>
      <c r="O39" s="173"/>
      <c r="P39" s="174">
        <f t="shared" si="8"/>
        <v>0.2733618274664234</v>
      </c>
      <c r="Q39" s="163">
        <f t="shared" si="5"/>
        <v>74.97403721312438</v>
      </c>
    </row>
    <row r="40" spans="1:17" ht="15">
      <c r="A40" s="151">
        <f t="shared" si="6"/>
        <v>37114</v>
      </c>
      <c r="B40" s="34">
        <v>1.753618594823032</v>
      </c>
      <c r="C40" s="34">
        <f t="shared" si="7"/>
        <v>0.4309873417721519</v>
      </c>
      <c r="D40" s="34">
        <f t="shared" si="7"/>
        <v>0.5926075949367089</v>
      </c>
      <c r="E40" s="34">
        <f t="shared" si="7"/>
        <v>0.8081012658227849</v>
      </c>
      <c r="F40" s="34">
        <f t="shared" si="7"/>
        <v>0.9697215189873418</v>
      </c>
      <c r="G40" s="34">
        <v>1.0774683544303798</v>
      </c>
      <c r="H40" s="35"/>
      <c r="I40" s="155">
        <f t="shared" si="0"/>
        <v>0.7557874166649949</v>
      </c>
      <c r="J40" s="156">
        <f t="shared" si="1"/>
        <v>1.039207697914368</v>
      </c>
      <c r="K40" s="156">
        <f t="shared" si="2"/>
        <v>1.4171014062468654</v>
      </c>
      <c r="L40" s="156">
        <f t="shared" si="3"/>
        <v>1.7005216874962386</v>
      </c>
      <c r="M40" s="157">
        <f t="shared" si="4"/>
        <v>1.8894685416624872</v>
      </c>
      <c r="N40" s="172"/>
      <c r="O40" s="173"/>
      <c r="P40" s="174">
        <f t="shared" si="8"/>
        <v>0.26992407738035534</v>
      </c>
      <c r="Q40" s="163">
        <f t="shared" si="5"/>
        <v>74.03117695618543</v>
      </c>
    </row>
    <row r="41" spans="1:17" ht="15">
      <c r="A41" s="151">
        <f t="shared" si="6"/>
        <v>37121</v>
      </c>
      <c r="B41" s="34">
        <v>1.6924458531431588</v>
      </c>
      <c r="C41" s="34">
        <f t="shared" si="7"/>
        <v>0.4300800000000001</v>
      </c>
      <c r="D41" s="34">
        <f t="shared" si="7"/>
        <v>0.5913600000000001</v>
      </c>
      <c r="E41" s="34">
        <f t="shared" si="7"/>
        <v>0.8064000000000001</v>
      </c>
      <c r="F41" s="34">
        <f t="shared" si="7"/>
        <v>0.9676800000000002</v>
      </c>
      <c r="G41" s="34">
        <v>1.0752000000000002</v>
      </c>
      <c r="H41" s="35"/>
      <c r="I41" s="155">
        <f aca="true" t="shared" si="9" ref="I41:I60">$B41*C41</f>
        <v>0.7278871125198099</v>
      </c>
      <c r="J41" s="156">
        <f aca="true" t="shared" si="10" ref="J41:J60">$B41*D41</f>
        <v>1.0008447797147386</v>
      </c>
      <c r="K41" s="156">
        <f aca="true" t="shared" si="11" ref="K41:K60">$B41*E41</f>
        <v>1.3647883359746433</v>
      </c>
      <c r="L41" s="156">
        <f aca="true" t="shared" si="12" ref="L41:L60">$B41*F41</f>
        <v>1.6377460031695723</v>
      </c>
      <c r="M41" s="157">
        <f aca="true" t="shared" si="13" ref="M41:M60">$B41*G41</f>
        <v>1.8197177812995247</v>
      </c>
      <c r="N41" s="172"/>
      <c r="O41" s="173"/>
      <c r="P41" s="174">
        <f t="shared" si="8"/>
        <v>0.2599596830427892</v>
      </c>
      <c r="Q41" s="163">
        <f aca="true" t="shared" si="14" ref="Q41:Q60">M41/12*20*22*7.48/7</f>
        <v>71.298275735869</v>
      </c>
    </row>
    <row r="42" spans="1:17" ht="15">
      <c r="A42" s="151">
        <f aca="true" t="shared" si="15" ref="A42:A60">A41+7</f>
        <v>37128</v>
      </c>
      <c r="B42" s="34">
        <v>1.6210776545166403</v>
      </c>
      <c r="C42" s="34">
        <f t="shared" si="7"/>
        <v>0.4292027972027973</v>
      </c>
      <c r="D42" s="34">
        <f t="shared" si="7"/>
        <v>0.5901538461538464</v>
      </c>
      <c r="E42" s="34">
        <f t="shared" si="7"/>
        <v>0.8047552447552448</v>
      </c>
      <c r="F42" s="34">
        <f t="shared" si="7"/>
        <v>0.9657062937062939</v>
      </c>
      <c r="G42" s="34">
        <v>1.0730069930069932</v>
      </c>
      <c r="H42" s="35"/>
      <c r="I42" s="155">
        <f t="shared" si="9"/>
        <v>0.6957710638014919</v>
      </c>
      <c r="J42" s="156">
        <f t="shared" si="10"/>
        <v>0.9566852127270514</v>
      </c>
      <c r="K42" s="156">
        <f t="shared" si="11"/>
        <v>1.3045707446277972</v>
      </c>
      <c r="L42" s="156">
        <f t="shared" si="12"/>
        <v>1.5654848935533567</v>
      </c>
      <c r="M42" s="157">
        <f t="shared" si="13"/>
        <v>1.7394276595037297</v>
      </c>
      <c r="N42" s="172"/>
      <c r="O42" s="173"/>
      <c r="P42" s="174">
        <f t="shared" si="8"/>
        <v>0.24848966564338995</v>
      </c>
      <c r="Q42" s="163">
        <f t="shared" si="14"/>
        <v>68.15243229712709</v>
      </c>
    </row>
    <row r="43" spans="1:17" ht="15">
      <c r="A43" s="151">
        <f t="shared" si="15"/>
        <v>37135</v>
      </c>
      <c r="B43" s="34">
        <v>1.5497094558901214</v>
      </c>
      <c r="C43" s="34">
        <f t="shared" si="7"/>
        <v>0.42823529411764705</v>
      </c>
      <c r="D43" s="34">
        <f t="shared" si="7"/>
        <v>0.5888235294117647</v>
      </c>
      <c r="E43" s="34">
        <f t="shared" si="7"/>
        <v>0.8029411764705883</v>
      </c>
      <c r="F43" s="34">
        <f t="shared" si="7"/>
        <v>0.9635294117647059</v>
      </c>
      <c r="G43" s="34">
        <v>1.0705882352941176</v>
      </c>
      <c r="H43" s="35"/>
      <c r="I43" s="155">
        <f t="shared" si="9"/>
        <v>0.6636402846400049</v>
      </c>
      <c r="J43" s="156">
        <f t="shared" si="10"/>
        <v>0.9125053913800069</v>
      </c>
      <c r="K43" s="156">
        <f t="shared" si="11"/>
        <v>1.2443255337000094</v>
      </c>
      <c r="L43" s="156">
        <f t="shared" si="12"/>
        <v>1.493190640440011</v>
      </c>
      <c r="M43" s="157">
        <f t="shared" si="13"/>
        <v>1.6591007116000123</v>
      </c>
      <c r="N43" s="172" t="s">
        <v>106</v>
      </c>
      <c r="O43" s="173">
        <f>SUM(M39:M43)-3*P39-1*P43</f>
        <v>7.964147616560019</v>
      </c>
      <c r="P43" s="174">
        <f t="shared" si="8"/>
        <v>0.23701438737143032</v>
      </c>
      <c r="Q43" s="163">
        <f t="shared" si="14"/>
        <v>65.00514597640431</v>
      </c>
    </row>
    <row r="44" spans="1:17" ht="15">
      <c r="A44" s="151">
        <f t="shared" si="15"/>
        <v>37142</v>
      </c>
      <c r="B44" s="34">
        <v>1.4681458003169572</v>
      </c>
      <c r="C44" s="34">
        <f t="shared" si="7"/>
        <v>0.42350000000000004</v>
      </c>
      <c r="D44" s="34">
        <f t="shared" si="7"/>
        <v>0.5823125000000001</v>
      </c>
      <c r="E44" s="34">
        <f t="shared" si="7"/>
        <v>0.7940625000000001</v>
      </c>
      <c r="F44" s="34">
        <f t="shared" si="7"/>
        <v>0.9528750000000001</v>
      </c>
      <c r="G44" s="34">
        <v>1.05875</v>
      </c>
      <c r="H44" s="35"/>
      <c r="I44" s="155">
        <f t="shared" si="9"/>
        <v>0.6217597464342314</v>
      </c>
      <c r="J44" s="156">
        <f t="shared" si="10"/>
        <v>0.8549196513470683</v>
      </c>
      <c r="K44" s="156">
        <f t="shared" si="11"/>
        <v>1.165799524564184</v>
      </c>
      <c r="L44" s="156">
        <f t="shared" si="12"/>
        <v>1.3989594294770207</v>
      </c>
      <c r="M44" s="157">
        <f t="shared" si="13"/>
        <v>1.5543993660855786</v>
      </c>
      <c r="N44" s="172"/>
      <c r="O44" s="173"/>
      <c r="P44" s="174">
        <f t="shared" si="8"/>
        <v>0.2220570522979398</v>
      </c>
      <c r="Q44" s="163">
        <f t="shared" si="14"/>
        <v>60.90284754358163</v>
      </c>
    </row>
    <row r="45" spans="1:17" ht="15">
      <c r="A45" s="151">
        <f t="shared" si="15"/>
        <v>37149</v>
      </c>
      <c r="B45" s="34">
        <v>1.3967776016904385</v>
      </c>
      <c r="C45" s="34">
        <f t="shared" si="7"/>
        <v>0.4141176470588237</v>
      </c>
      <c r="D45" s="34">
        <f t="shared" si="7"/>
        <v>0.5694117647058826</v>
      </c>
      <c r="E45" s="34">
        <f t="shared" si="7"/>
        <v>0.7764705882352944</v>
      </c>
      <c r="F45" s="34">
        <f t="shared" si="7"/>
        <v>0.9317647058823533</v>
      </c>
      <c r="G45" s="34">
        <v>1.0352941176470591</v>
      </c>
      <c r="H45" s="35"/>
      <c r="I45" s="155">
        <f t="shared" si="9"/>
        <v>0.5784302538765113</v>
      </c>
      <c r="J45" s="156">
        <f t="shared" si="10"/>
        <v>0.795341599080203</v>
      </c>
      <c r="K45" s="156">
        <f t="shared" si="11"/>
        <v>1.0845567260184585</v>
      </c>
      <c r="L45" s="156">
        <f t="shared" si="12"/>
        <v>1.3014680712221502</v>
      </c>
      <c r="M45" s="157">
        <f t="shared" si="13"/>
        <v>1.446075634691278</v>
      </c>
      <c r="N45" s="172"/>
      <c r="O45" s="173"/>
      <c r="P45" s="174">
        <f t="shared" si="8"/>
        <v>0.20658223352732544</v>
      </c>
      <c r="Q45" s="163">
        <f t="shared" si="14"/>
        <v>56.65862058209446</v>
      </c>
    </row>
    <row r="46" spans="1:17" ht="15">
      <c r="A46" s="151">
        <f t="shared" si="15"/>
        <v>37156</v>
      </c>
      <c r="B46" s="34">
        <v>1.3050184891706287</v>
      </c>
      <c r="C46" s="34">
        <f t="shared" si="7"/>
        <v>0.4068990825688073</v>
      </c>
      <c r="D46" s="34">
        <f t="shared" si="7"/>
        <v>0.5594862385321101</v>
      </c>
      <c r="E46" s="34">
        <f t="shared" si="7"/>
        <v>0.7629357798165137</v>
      </c>
      <c r="F46" s="34">
        <f t="shared" si="7"/>
        <v>0.9155229357798165</v>
      </c>
      <c r="G46" s="34">
        <v>1.0172477064220182</v>
      </c>
      <c r="H46" s="35"/>
      <c r="I46" s="155">
        <f t="shared" si="9"/>
        <v>0.5310108259788598</v>
      </c>
      <c r="J46" s="156">
        <f t="shared" si="10"/>
        <v>0.7301398857209324</v>
      </c>
      <c r="K46" s="156">
        <f t="shared" si="11"/>
        <v>0.9956452987103621</v>
      </c>
      <c r="L46" s="156">
        <f t="shared" si="12"/>
        <v>1.1947743584524346</v>
      </c>
      <c r="M46" s="157">
        <f t="shared" si="13"/>
        <v>1.3275270649471496</v>
      </c>
      <c r="N46" s="172"/>
      <c r="O46" s="173"/>
      <c r="P46" s="174">
        <f t="shared" si="8"/>
        <v>0.18964672356387852</v>
      </c>
      <c r="Q46" s="163">
        <f t="shared" si="14"/>
        <v>52.01377471611975</v>
      </c>
    </row>
    <row r="47" spans="1:17" ht="15">
      <c r="A47" s="151">
        <f t="shared" si="15"/>
        <v>37163</v>
      </c>
      <c r="B47" s="34">
        <v>1.1928684627575277</v>
      </c>
      <c r="C47" s="34">
        <f t="shared" si="7"/>
        <v>0.3891717171717173</v>
      </c>
      <c r="D47" s="34">
        <f t="shared" si="7"/>
        <v>0.5351111111111112</v>
      </c>
      <c r="E47" s="34">
        <f t="shared" si="7"/>
        <v>0.7296969696969698</v>
      </c>
      <c r="F47" s="34">
        <f t="shared" si="7"/>
        <v>0.8756363636363638</v>
      </c>
      <c r="G47" s="34">
        <v>0.9729292929292931</v>
      </c>
      <c r="H47" s="35"/>
      <c r="I47" s="155">
        <f t="shared" si="9"/>
        <v>0.4642306680113337</v>
      </c>
      <c r="J47" s="156">
        <f t="shared" si="10"/>
        <v>0.6383171685155838</v>
      </c>
      <c r="K47" s="156">
        <f t="shared" si="11"/>
        <v>0.8704325025212507</v>
      </c>
      <c r="L47" s="156">
        <f t="shared" si="12"/>
        <v>1.0445190030255007</v>
      </c>
      <c r="M47" s="157">
        <f t="shared" si="13"/>
        <v>1.1605766700283342</v>
      </c>
      <c r="N47" s="172" t="s">
        <v>107</v>
      </c>
      <c r="O47" s="173">
        <f>SUM(M44:M47)+1*P48+1*P43</f>
        <v>5.8743652308892225</v>
      </c>
      <c r="P47" s="174">
        <f t="shared" si="8"/>
        <v>0.16579666714690489</v>
      </c>
      <c r="Q47" s="163">
        <f t="shared" si="14"/>
        <v>45.47249924282445</v>
      </c>
    </row>
    <row r="48" spans="1:17" ht="15">
      <c r="A48" s="151">
        <f t="shared" si="15"/>
        <v>37170</v>
      </c>
      <c r="B48" s="34">
        <v>1.1011093502377178</v>
      </c>
      <c r="C48" s="34">
        <f t="shared" si="7"/>
        <v>0.37831111111111115</v>
      </c>
      <c r="D48" s="34">
        <f t="shared" si="7"/>
        <v>0.5201777777777778</v>
      </c>
      <c r="E48" s="34">
        <f t="shared" si="7"/>
        <v>0.7093333333333334</v>
      </c>
      <c r="F48" s="34">
        <f t="shared" si="7"/>
        <v>0.8512000000000001</v>
      </c>
      <c r="G48" s="34">
        <v>0.9457777777777778</v>
      </c>
      <c r="H48" s="35"/>
      <c r="I48" s="155">
        <f t="shared" si="9"/>
        <v>0.4165619017432647</v>
      </c>
      <c r="J48" s="156">
        <f t="shared" si="10"/>
        <v>0.5727726148969889</v>
      </c>
      <c r="K48" s="156">
        <f t="shared" si="11"/>
        <v>0.7810535657686212</v>
      </c>
      <c r="L48" s="156">
        <f t="shared" si="12"/>
        <v>0.9372642789223455</v>
      </c>
      <c r="M48" s="157">
        <f t="shared" si="13"/>
        <v>1.0414047543581617</v>
      </c>
      <c r="N48" s="172"/>
      <c r="O48" s="173"/>
      <c r="P48" s="174">
        <f t="shared" si="8"/>
        <v>0.14877210776545166</v>
      </c>
      <c r="Q48" s="163">
        <f t="shared" si="14"/>
        <v>40.80323008980455</v>
      </c>
    </row>
    <row r="49" spans="1:17" ht="15">
      <c r="A49" s="151">
        <f t="shared" si="15"/>
        <v>37177</v>
      </c>
      <c r="B49" s="34">
        <v>0.9991547807712625</v>
      </c>
      <c r="C49" s="34">
        <f t="shared" si="7"/>
        <v>0.3528</v>
      </c>
      <c r="D49" s="34">
        <f t="shared" si="7"/>
        <v>0.48510000000000003</v>
      </c>
      <c r="E49" s="34">
        <f t="shared" si="7"/>
        <v>0.6615</v>
      </c>
      <c r="F49" s="34">
        <f t="shared" si="7"/>
        <v>0.7938000000000001</v>
      </c>
      <c r="G49" s="34">
        <v>0.882</v>
      </c>
      <c r="H49" s="35"/>
      <c r="I49" s="155">
        <f t="shared" si="9"/>
        <v>0.3525018066561014</v>
      </c>
      <c r="J49" s="156">
        <f t="shared" si="10"/>
        <v>0.4846899841521395</v>
      </c>
      <c r="K49" s="156">
        <f t="shared" si="11"/>
        <v>0.6609408874801901</v>
      </c>
      <c r="L49" s="156">
        <f t="shared" si="12"/>
        <v>0.7931290649762283</v>
      </c>
      <c r="M49" s="157">
        <f t="shared" si="13"/>
        <v>0.8812545166402536</v>
      </c>
      <c r="N49" s="172"/>
      <c r="O49" s="173"/>
      <c r="P49" s="174">
        <f t="shared" si="8"/>
        <v>0.12589350237717908</v>
      </c>
      <c r="Q49" s="163">
        <f t="shared" si="14"/>
        <v>34.528391251980985</v>
      </c>
    </row>
    <row r="50" spans="1:17" ht="15">
      <c r="A50" s="151">
        <f t="shared" si="15"/>
        <v>37184</v>
      </c>
      <c r="B50" s="34">
        <v>0.8972002113048072</v>
      </c>
      <c r="C50" s="34">
        <f t="shared" si="7"/>
        <v>0.35200000000000004</v>
      </c>
      <c r="D50" s="34">
        <f t="shared" si="7"/>
        <v>0.48400000000000004</v>
      </c>
      <c r="E50" s="34">
        <f t="shared" si="7"/>
        <v>0.66</v>
      </c>
      <c r="F50" s="34">
        <f t="shared" si="7"/>
        <v>0.792</v>
      </c>
      <c r="G50" s="34">
        <v>0.88</v>
      </c>
      <c r="H50" s="35"/>
      <c r="I50" s="155">
        <f t="shared" si="9"/>
        <v>0.31581447437929216</v>
      </c>
      <c r="J50" s="156">
        <f t="shared" si="10"/>
        <v>0.43424490227152673</v>
      </c>
      <c r="K50" s="156">
        <f t="shared" si="11"/>
        <v>0.5921521394611727</v>
      </c>
      <c r="L50" s="156">
        <f t="shared" si="12"/>
        <v>0.7105825673534073</v>
      </c>
      <c r="M50" s="157">
        <f t="shared" si="13"/>
        <v>0.7895361859482304</v>
      </c>
      <c r="N50" s="172"/>
      <c r="O50" s="173"/>
      <c r="P50" s="174">
        <f t="shared" si="8"/>
        <v>0.11279088370689005</v>
      </c>
      <c r="Q50" s="163">
        <f t="shared" si="14"/>
        <v>30.934779704676377</v>
      </c>
    </row>
    <row r="51" spans="1:17" ht="15">
      <c r="A51" s="151">
        <f t="shared" si="15"/>
        <v>37191</v>
      </c>
      <c r="B51" s="34">
        <v>0.7748547279450607</v>
      </c>
      <c r="C51" s="34">
        <f t="shared" si="7"/>
        <v>0.3323870967741936</v>
      </c>
      <c r="D51" s="34">
        <f t="shared" si="7"/>
        <v>0.4570322580645162</v>
      </c>
      <c r="E51" s="34">
        <f t="shared" si="7"/>
        <v>0.623225806451613</v>
      </c>
      <c r="F51" s="34">
        <f t="shared" si="7"/>
        <v>0.7478709677419356</v>
      </c>
      <c r="G51" s="34">
        <v>0.830967741935484</v>
      </c>
      <c r="H51" s="35"/>
      <c r="I51" s="155">
        <f t="shared" si="9"/>
        <v>0.2575517134434163</v>
      </c>
      <c r="J51" s="156">
        <f t="shared" si="10"/>
        <v>0.35413360598469745</v>
      </c>
      <c r="K51" s="156">
        <f t="shared" si="11"/>
        <v>0.4829094627064056</v>
      </c>
      <c r="L51" s="156">
        <f t="shared" si="12"/>
        <v>0.5794913552476868</v>
      </c>
      <c r="M51" s="157">
        <f t="shared" si="13"/>
        <v>0.6438792836085409</v>
      </c>
      <c r="N51" s="172" t="s">
        <v>108</v>
      </c>
      <c r="O51" s="173">
        <f>SUM(M48:M51)-1*P47+4*P52</f>
        <v>3.49092478572476</v>
      </c>
      <c r="P51" s="174">
        <f t="shared" si="8"/>
        <v>0.09198275480122012</v>
      </c>
      <c r="Q51" s="163">
        <f t="shared" si="14"/>
        <v>25.227803550147975</v>
      </c>
    </row>
    <row r="52" spans="1:17" ht="15">
      <c r="A52" s="151">
        <f t="shared" si="15"/>
        <v>37198</v>
      </c>
      <c r="B52" s="34">
        <v>0.6729001584786054</v>
      </c>
      <c r="C52" s="34">
        <f t="shared" si="7"/>
        <v>0.3127547169811321</v>
      </c>
      <c r="D52" s="34">
        <f t="shared" si="7"/>
        <v>0.43003773584905663</v>
      </c>
      <c r="E52" s="34">
        <f t="shared" si="7"/>
        <v>0.5864150943396227</v>
      </c>
      <c r="F52" s="34">
        <f t="shared" si="7"/>
        <v>0.7036981132075472</v>
      </c>
      <c r="G52" s="34">
        <v>0.7818867924528302</v>
      </c>
      <c r="H52" s="35"/>
      <c r="I52" s="155">
        <f t="shared" si="9"/>
        <v>0.21045269862153518</v>
      </c>
      <c r="J52" s="156">
        <f t="shared" si="10"/>
        <v>0.28937246060461086</v>
      </c>
      <c r="K52" s="156">
        <f t="shared" si="11"/>
        <v>0.39459880991537843</v>
      </c>
      <c r="L52" s="156">
        <f t="shared" si="12"/>
        <v>0.4735185718984541</v>
      </c>
      <c r="M52" s="157">
        <f t="shared" si="13"/>
        <v>0.5261317465538379</v>
      </c>
      <c r="N52" s="172"/>
      <c r="O52" s="173"/>
      <c r="P52" s="174">
        <f t="shared" si="8"/>
        <v>0.07516167807911969</v>
      </c>
      <c r="Q52" s="163">
        <f t="shared" si="14"/>
        <v>20.614342907833226</v>
      </c>
    </row>
    <row r="53" spans="1:17" ht="15">
      <c r="A53" s="151">
        <f t="shared" si="15"/>
        <v>37205</v>
      </c>
      <c r="B53" s="34">
        <v>0.5709455890121501</v>
      </c>
      <c r="C53" s="34">
        <f t="shared" si="7"/>
        <v>0.2850909090909092</v>
      </c>
      <c r="D53" s="34">
        <f t="shared" si="7"/>
        <v>0.3920000000000001</v>
      </c>
      <c r="E53" s="34">
        <f t="shared" si="7"/>
        <v>0.5345454545454547</v>
      </c>
      <c r="F53" s="34">
        <f t="shared" si="7"/>
        <v>0.6414545454545456</v>
      </c>
      <c r="G53" s="34">
        <v>0.7127272727272729</v>
      </c>
      <c r="H53" s="35"/>
      <c r="I53" s="155">
        <f t="shared" si="9"/>
        <v>0.16277139701291848</v>
      </c>
      <c r="J53" s="156">
        <f t="shared" si="10"/>
        <v>0.2238106708927629</v>
      </c>
      <c r="K53" s="156">
        <f t="shared" si="11"/>
        <v>0.3051963693992221</v>
      </c>
      <c r="L53" s="156">
        <f t="shared" si="12"/>
        <v>0.36623564327906655</v>
      </c>
      <c r="M53" s="157">
        <f t="shared" si="13"/>
        <v>0.4069284925322961</v>
      </c>
      <c r="N53" s="172"/>
      <c r="O53" s="173"/>
      <c r="P53" s="174">
        <f t="shared" si="8"/>
        <v>0.05813264179032802</v>
      </c>
      <c r="Q53" s="163">
        <f t="shared" si="14"/>
        <v>15.94384588836063</v>
      </c>
    </row>
    <row r="54" spans="1:17" ht="15">
      <c r="A54" s="151">
        <f t="shared" si="15"/>
        <v>37212</v>
      </c>
      <c r="B54" s="34">
        <v>0.47918647649234014</v>
      </c>
      <c r="C54" s="34">
        <f t="shared" si="7"/>
        <v>0.27377777777777784</v>
      </c>
      <c r="D54" s="34">
        <f t="shared" si="7"/>
        <v>0.3764444444444445</v>
      </c>
      <c r="E54" s="34">
        <f t="shared" si="7"/>
        <v>0.5133333333333334</v>
      </c>
      <c r="F54" s="34">
        <f t="shared" si="7"/>
        <v>0.6160000000000001</v>
      </c>
      <c r="G54" s="34">
        <v>0.6844444444444445</v>
      </c>
      <c r="H54" s="35"/>
      <c r="I54" s="155">
        <f t="shared" si="9"/>
        <v>0.13119060867523627</v>
      </c>
      <c r="J54" s="156">
        <f t="shared" si="10"/>
        <v>0.18038708692844987</v>
      </c>
      <c r="K54" s="156">
        <f t="shared" si="11"/>
        <v>0.24598239126606797</v>
      </c>
      <c r="L54" s="156">
        <f t="shared" si="12"/>
        <v>0.2951788695192816</v>
      </c>
      <c r="M54" s="157">
        <f t="shared" si="13"/>
        <v>0.3279765216880906</v>
      </c>
      <c r="N54" s="172"/>
      <c r="O54" s="173"/>
      <c r="P54" s="174">
        <f t="shared" si="8"/>
        <v>0.046853788812584375</v>
      </c>
      <c r="Q54" s="163">
        <f t="shared" si="14"/>
        <v>12.850432478331474</v>
      </c>
    </row>
    <row r="55" spans="1:17" ht="15">
      <c r="A55" s="151">
        <f t="shared" si="15"/>
        <v>37219</v>
      </c>
      <c r="B55" s="34">
        <v>0.41801373481246695</v>
      </c>
      <c r="C55" s="34">
        <f t="shared" si="7"/>
        <v>0.23893333333333336</v>
      </c>
      <c r="D55" s="34">
        <f t="shared" si="7"/>
        <v>0.3285333333333334</v>
      </c>
      <c r="E55" s="34">
        <f t="shared" si="7"/>
        <v>0.44800000000000006</v>
      </c>
      <c r="F55" s="34">
        <f t="shared" si="7"/>
        <v>0.5376000000000001</v>
      </c>
      <c r="G55" s="34">
        <v>0.5973333333333334</v>
      </c>
      <c r="H55" s="35"/>
      <c r="I55" s="155">
        <f t="shared" si="9"/>
        <v>0.09987741503785878</v>
      </c>
      <c r="J55" s="156">
        <f t="shared" si="10"/>
        <v>0.13733144567705582</v>
      </c>
      <c r="K55" s="156">
        <f t="shared" si="11"/>
        <v>0.18727015319598522</v>
      </c>
      <c r="L55" s="156">
        <f t="shared" si="12"/>
        <v>0.22472418383518228</v>
      </c>
      <c r="M55" s="157">
        <f t="shared" si="13"/>
        <v>0.24969353759464694</v>
      </c>
      <c r="N55" s="172"/>
      <c r="O55" s="173"/>
      <c r="P55" s="174">
        <f t="shared" si="8"/>
        <v>0.035670505370663845</v>
      </c>
      <c r="Q55" s="163">
        <f t="shared" si="14"/>
        <v>9.783230606327406</v>
      </c>
    </row>
    <row r="56" spans="1:17" ht="15">
      <c r="A56" s="151">
        <f t="shared" si="15"/>
        <v>37226</v>
      </c>
      <c r="B56" s="34">
        <v>0.3568409931325937</v>
      </c>
      <c r="C56" s="34">
        <f t="shared" si="7"/>
        <v>0.2</v>
      </c>
      <c r="D56" s="34">
        <f t="shared" si="7"/>
        <v>0.275</v>
      </c>
      <c r="E56" s="34">
        <f t="shared" si="7"/>
        <v>0.375</v>
      </c>
      <c r="F56" s="34">
        <f t="shared" si="7"/>
        <v>0.45</v>
      </c>
      <c r="G56" s="34">
        <v>0.5</v>
      </c>
      <c r="H56" s="35"/>
      <c r="I56" s="155">
        <f t="shared" si="9"/>
        <v>0.07136819862651875</v>
      </c>
      <c r="J56" s="156">
        <f t="shared" si="10"/>
        <v>0.09813127311146327</v>
      </c>
      <c r="K56" s="156">
        <f t="shared" si="11"/>
        <v>0.13381537242472263</v>
      </c>
      <c r="L56" s="156">
        <f t="shared" si="12"/>
        <v>0.16057844690966716</v>
      </c>
      <c r="M56" s="157">
        <f t="shared" si="13"/>
        <v>0.17842049656629685</v>
      </c>
      <c r="N56" s="172" t="s">
        <v>109</v>
      </c>
      <c r="O56" s="173">
        <f>SUM(M52:M56)-4*P51</f>
        <v>1.3212197757302877</v>
      </c>
      <c r="P56" s="174">
        <f t="shared" si="8"/>
        <v>0.025488642366613835</v>
      </c>
      <c r="Q56" s="163">
        <f t="shared" si="14"/>
        <v>6.990684979749955</v>
      </c>
    </row>
    <row r="57" spans="1:17" ht="15">
      <c r="A57" s="151">
        <f t="shared" si="15"/>
        <v>37233</v>
      </c>
      <c r="B57" s="34">
        <v>0.30586370839936605</v>
      </c>
      <c r="C57" s="34">
        <f t="shared" si="7"/>
        <v>0.16000000000000003</v>
      </c>
      <c r="D57" s="34">
        <f t="shared" si="7"/>
        <v>0.22000000000000003</v>
      </c>
      <c r="E57" s="34">
        <f t="shared" si="7"/>
        <v>0.30000000000000004</v>
      </c>
      <c r="F57" s="34">
        <f t="shared" si="7"/>
        <v>0.36000000000000004</v>
      </c>
      <c r="G57" s="34">
        <v>0.4</v>
      </c>
      <c r="H57" s="35"/>
      <c r="I57" s="155">
        <f t="shared" si="9"/>
        <v>0.04893819334389858</v>
      </c>
      <c r="J57" s="156">
        <f t="shared" si="10"/>
        <v>0.06729001584786054</v>
      </c>
      <c r="K57" s="156">
        <f t="shared" si="11"/>
        <v>0.09175911251980982</v>
      </c>
      <c r="L57" s="156">
        <f t="shared" si="12"/>
        <v>0.1101109350237718</v>
      </c>
      <c r="M57" s="157">
        <f t="shared" si="13"/>
        <v>0.12234548335974643</v>
      </c>
      <c r="N57" s="172"/>
      <c r="O57" s="173"/>
      <c r="P57" s="174">
        <f t="shared" si="8"/>
        <v>0.01747792619424949</v>
      </c>
      <c r="Q57" s="163">
        <f t="shared" si="14"/>
        <v>4.7936125575428274</v>
      </c>
    </row>
    <row r="58" spans="1:17" ht="15">
      <c r="A58" s="151">
        <f t="shared" si="15"/>
        <v>37240</v>
      </c>
      <c r="B58" s="34">
        <v>0.28547279450607504</v>
      </c>
      <c r="C58" s="34">
        <f t="shared" si="7"/>
        <v>0.16000000000000003</v>
      </c>
      <c r="D58" s="34">
        <f t="shared" si="7"/>
        <v>0.22000000000000003</v>
      </c>
      <c r="E58" s="34">
        <f t="shared" si="7"/>
        <v>0.30000000000000004</v>
      </c>
      <c r="F58" s="34">
        <f t="shared" si="7"/>
        <v>0.36000000000000004</v>
      </c>
      <c r="G58" s="34">
        <v>0.4</v>
      </c>
      <c r="H58" s="35"/>
      <c r="I58" s="155">
        <f t="shared" si="9"/>
        <v>0.04567564712097202</v>
      </c>
      <c r="J58" s="156">
        <f t="shared" si="10"/>
        <v>0.06280401479133652</v>
      </c>
      <c r="K58" s="156">
        <f t="shared" si="11"/>
        <v>0.08564183835182253</v>
      </c>
      <c r="L58" s="156">
        <f t="shared" si="12"/>
        <v>0.10277020602218703</v>
      </c>
      <c r="M58" s="157">
        <f t="shared" si="13"/>
        <v>0.11418911780243002</v>
      </c>
      <c r="N58" s="172"/>
      <c r="O58" s="173"/>
      <c r="P58" s="174">
        <f t="shared" si="8"/>
        <v>0.01631273111463286</v>
      </c>
      <c r="Q58" s="163">
        <f t="shared" si="14"/>
        <v>4.474038387039973</v>
      </c>
    </row>
    <row r="59" spans="1:17" ht="15">
      <c r="A59" s="151">
        <f t="shared" si="15"/>
        <v>37247</v>
      </c>
      <c r="B59" s="34">
        <v>0.2548864236661384</v>
      </c>
      <c r="C59" s="34">
        <f t="shared" si="7"/>
        <v>0.16000000000000003</v>
      </c>
      <c r="D59" s="34">
        <f t="shared" si="7"/>
        <v>0.22000000000000003</v>
      </c>
      <c r="E59" s="34">
        <f t="shared" si="7"/>
        <v>0.30000000000000004</v>
      </c>
      <c r="F59" s="34">
        <f t="shared" si="7"/>
        <v>0.36000000000000004</v>
      </c>
      <c r="G59" s="34">
        <v>0.4</v>
      </c>
      <c r="H59" s="35"/>
      <c r="I59" s="155">
        <f t="shared" si="9"/>
        <v>0.04078182778658215</v>
      </c>
      <c r="J59" s="156">
        <f t="shared" si="10"/>
        <v>0.05607501320655046</v>
      </c>
      <c r="K59" s="156">
        <f t="shared" si="11"/>
        <v>0.07646592709984153</v>
      </c>
      <c r="L59" s="156">
        <f t="shared" si="12"/>
        <v>0.09175911251980984</v>
      </c>
      <c r="M59" s="157">
        <f t="shared" si="13"/>
        <v>0.10195456946645537</v>
      </c>
      <c r="N59" s="172"/>
      <c r="O59" s="173"/>
      <c r="P59" s="174">
        <f t="shared" si="8"/>
        <v>0.01456493849520791</v>
      </c>
      <c r="Q59" s="163">
        <f t="shared" si="14"/>
        <v>3.99467713128569</v>
      </c>
    </row>
    <row r="60" spans="1:17" ht="15.75" thickBot="1">
      <c r="A60" s="151">
        <f t="shared" si="15"/>
        <v>37254</v>
      </c>
      <c r="B60" s="34">
        <v>0.21410459587955624</v>
      </c>
      <c r="C60" s="34">
        <f t="shared" si="7"/>
        <v>0.16000000000000003</v>
      </c>
      <c r="D60" s="34">
        <f t="shared" si="7"/>
        <v>0.22000000000000003</v>
      </c>
      <c r="E60" s="34">
        <f t="shared" si="7"/>
        <v>0.30000000000000004</v>
      </c>
      <c r="F60" s="34">
        <f t="shared" si="7"/>
        <v>0.36000000000000004</v>
      </c>
      <c r="G60" s="34">
        <v>0.4</v>
      </c>
      <c r="H60" s="35"/>
      <c r="I60" s="158">
        <f t="shared" si="9"/>
        <v>0.034256735340729004</v>
      </c>
      <c r="J60" s="159">
        <f t="shared" si="10"/>
        <v>0.04710301109350238</v>
      </c>
      <c r="K60" s="159">
        <f t="shared" si="11"/>
        <v>0.06423137876386688</v>
      </c>
      <c r="L60" s="159">
        <f t="shared" si="12"/>
        <v>0.07707765451664025</v>
      </c>
      <c r="M60" s="150">
        <f t="shared" si="13"/>
        <v>0.0856418383518225</v>
      </c>
      <c r="N60" s="162" t="s">
        <v>110</v>
      </c>
      <c r="O60" s="182">
        <v>0.47</v>
      </c>
      <c r="P60" s="175">
        <f t="shared" si="8"/>
        <v>0.012234548335974644</v>
      </c>
      <c r="Q60" s="181">
        <f t="shared" si="14"/>
        <v>3.355528790279979</v>
      </c>
    </row>
    <row r="61" spans="1:16" ht="14.25" thickBot="1">
      <c r="A61" s="160" t="s">
        <v>2</v>
      </c>
      <c r="B61" s="161">
        <f>SUM(B9:B60)</f>
        <v>57.89999999999999</v>
      </c>
      <c r="C61" s="33"/>
      <c r="D61" s="33"/>
      <c r="E61" s="33"/>
      <c r="F61" s="33"/>
      <c r="G61" s="34"/>
      <c r="H61" s="35"/>
      <c r="I61" s="162">
        <f>SUM(I9:I60)</f>
        <v>20.909328676645032</v>
      </c>
      <c r="J61" s="43">
        <f>SUM(J9:J60)</f>
        <v>28.75032693038692</v>
      </c>
      <c r="K61" s="43">
        <f>SUM(K9:K60)</f>
        <v>39.20499126870943</v>
      </c>
      <c r="L61" s="43">
        <f>SUM(L9:L60)</f>
        <v>47.045989522451336</v>
      </c>
      <c r="M61" s="150">
        <f>SUM(M9:M60)</f>
        <v>52.27332169161259</v>
      </c>
      <c r="N61" s="162"/>
      <c r="O61" s="150">
        <f>SUM(O9:O60)</f>
        <v>52.27209102121879</v>
      </c>
      <c r="P61" s="35"/>
    </row>
    <row r="63" s="95" customFormat="1" ht="13.5">
      <c r="A63" s="94" t="s">
        <v>61</v>
      </c>
    </row>
    <row r="64" spans="1:16" s="96" customFormat="1" ht="31.5" customHeight="1">
      <c r="A64" s="201" t="s">
        <v>62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</row>
    <row r="65" spans="1:19" s="98" customFormat="1" ht="31.5" customHeight="1">
      <c r="A65" s="201" t="s">
        <v>63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97"/>
      <c r="R65" s="97"/>
      <c r="S65" s="97"/>
    </row>
    <row r="66" spans="1:19" s="98" customFormat="1" ht="31.5" customHeight="1">
      <c r="A66" s="201" t="s">
        <v>64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97"/>
      <c r="R66" s="97"/>
      <c r="S66" s="97"/>
    </row>
    <row r="67" spans="1:19" s="98" customFormat="1" ht="31.5" customHeight="1">
      <c r="A67" s="201" t="s">
        <v>65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97"/>
      <c r="R67" s="97"/>
      <c r="S67" s="97"/>
    </row>
    <row r="68" spans="1:19" s="98" customFormat="1" ht="31.5" customHeight="1">
      <c r="A68" s="201" t="s">
        <v>66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97"/>
      <c r="R68" s="97"/>
      <c r="S68" s="97"/>
    </row>
    <row r="69" spans="1:19" s="98" customFormat="1" ht="31.5" customHeight="1">
      <c r="A69" s="201" t="s">
        <v>67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97"/>
      <c r="R69" s="97"/>
      <c r="S69" s="97"/>
    </row>
    <row r="70" spans="1:19" s="98" customFormat="1" ht="31.5" customHeight="1">
      <c r="A70" s="201" t="s">
        <v>68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97"/>
      <c r="R70" s="97"/>
      <c r="S70" s="97"/>
    </row>
    <row r="71" spans="1:19" s="98" customFormat="1" ht="31.5" customHeight="1">
      <c r="A71" s="201" t="s">
        <v>69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97"/>
      <c r="R71" s="97"/>
      <c r="S71" s="97"/>
    </row>
    <row r="72" spans="1:19" s="98" customFormat="1" ht="31.5" customHeight="1">
      <c r="A72" s="201" t="s">
        <v>70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97"/>
      <c r="R72" s="97"/>
      <c r="S72" s="97"/>
    </row>
    <row r="73" spans="1:19" s="98" customFormat="1" ht="31.5" customHeight="1">
      <c r="A73" s="201" t="s">
        <v>71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97"/>
      <c r="R73" s="97"/>
      <c r="S73" s="97"/>
    </row>
    <row r="74" spans="1:19" s="100" customFormat="1" ht="31.5" customHeight="1">
      <c r="A74" s="201" t="s">
        <v>72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99"/>
      <c r="R74" s="99"/>
      <c r="S74" s="99"/>
    </row>
    <row r="75" spans="1:19" s="100" customFormat="1" ht="31.5" customHeight="1">
      <c r="A75" s="201" t="s">
        <v>73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99"/>
      <c r="R75" s="99"/>
      <c r="S75" s="99"/>
    </row>
    <row r="76" spans="1:19" s="100" customFormat="1" ht="31.5" customHeight="1">
      <c r="A76" s="201" t="s">
        <v>74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99"/>
      <c r="R76" s="99"/>
      <c r="S76" s="99"/>
    </row>
    <row r="77" spans="1:19" s="100" customFormat="1" ht="64.5" customHeight="1">
      <c r="A77" s="202" t="s">
        <v>99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99"/>
      <c r="R77" s="99"/>
      <c r="S77" s="99"/>
    </row>
  </sheetData>
  <sheetProtection/>
  <mergeCells count="16">
    <mergeCell ref="A74:P74"/>
    <mergeCell ref="A75:P75"/>
    <mergeCell ref="A76:P76"/>
    <mergeCell ref="A77:P77"/>
    <mergeCell ref="A68:P68"/>
    <mergeCell ref="A69:P69"/>
    <mergeCell ref="A70:P70"/>
    <mergeCell ref="A71:P71"/>
    <mergeCell ref="A72:P72"/>
    <mergeCell ref="A73:P73"/>
    <mergeCell ref="I7:M7"/>
    <mergeCell ref="N8:O8"/>
    <mergeCell ref="A64:P64"/>
    <mergeCell ref="A65:P65"/>
    <mergeCell ref="A66:P66"/>
    <mergeCell ref="A67:P67"/>
  </mergeCells>
  <printOptions gridLines="1" horizontalCentered="1" verticalCentered="1"/>
  <pageMargins left="0.25" right="0.25" top="0" bottom="0" header="0.37" footer="0.32"/>
  <pageSetup fitToHeight="1" fitToWidth="1" horizontalDpi="600" verticalDpi="600" orientation="portrait" scale="88" r:id="rId3"/>
  <rowBreaks count="1" manualBreakCount="1">
    <brk id="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="70" zoomScaleNormal="70" zoomScalePageLayoutView="0" workbookViewId="0" topLeftCell="A27">
      <selection activeCell="Z5" sqref="Z5"/>
    </sheetView>
  </sheetViews>
  <sheetFormatPr defaultColWidth="9.140625" defaultRowHeight="12.75"/>
  <cols>
    <col min="1" max="1" width="10.140625" style="4" customWidth="1"/>
    <col min="2" max="2" width="9.57421875" style="5" customWidth="1"/>
    <col min="3" max="6" width="10.140625" style="5" hidden="1" customWidth="1"/>
    <col min="7" max="8" width="9.00390625" style="7" customWidth="1"/>
    <col min="9" max="9" width="1.8515625" style="4" customWidth="1"/>
    <col min="10" max="10" width="10.7109375" style="5" customWidth="1"/>
    <col min="11" max="13" width="11.28125" style="5" customWidth="1"/>
    <col min="14" max="15" width="11.28125" style="8" customWidth="1"/>
    <col min="16" max="16" width="6.28125" style="8" customWidth="1"/>
    <col min="17" max="17" width="8.8515625" style="4" customWidth="1"/>
    <col min="18" max="18" width="8.140625" style="4" customWidth="1"/>
    <col min="19" max="19" width="9.140625" style="35" customWidth="1"/>
    <col min="20" max="16384" width="9.140625" style="4" customWidth="1"/>
  </cols>
  <sheetData>
    <row r="1" spans="1:8" ht="13.5">
      <c r="A1" s="6"/>
      <c r="B1" s="8"/>
      <c r="G1" s="9"/>
      <c r="H1" s="9"/>
    </row>
    <row r="3" ht="14.25" thickBot="1"/>
    <row r="4" spans="1:19" ht="21" customHeight="1" thickBot="1">
      <c r="A4" s="186" t="s">
        <v>124</v>
      </c>
      <c r="B4" s="187"/>
      <c r="C4" s="187"/>
      <c r="D4" s="187"/>
      <c r="E4" s="187"/>
      <c r="F4" s="187"/>
      <c r="G4" s="188"/>
      <c r="H4" s="188"/>
      <c r="I4" s="189"/>
      <c r="J4" s="187"/>
      <c r="K4" s="187"/>
      <c r="L4" s="187"/>
      <c r="M4" s="187"/>
      <c r="N4" s="190"/>
      <c r="O4" s="190"/>
      <c r="P4" s="190"/>
      <c r="Q4" s="191"/>
      <c r="R4" s="191"/>
      <c r="S4" s="192"/>
    </row>
    <row r="5" spans="1:20" ht="45" customHeight="1">
      <c r="A5" s="44"/>
      <c r="B5" s="143" t="s">
        <v>44</v>
      </c>
      <c r="C5" s="193">
        <v>0.4</v>
      </c>
      <c r="D5" s="193">
        <v>0.55</v>
      </c>
      <c r="E5" s="193">
        <v>0.75</v>
      </c>
      <c r="F5" s="193">
        <v>0.9</v>
      </c>
      <c r="G5" s="144" t="s">
        <v>47</v>
      </c>
      <c r="H5" s="144"/>
      <c r="I5" s="145"/>
      <c r="J5" s="197" t="s">
        <v>120</v>
      </c>
      <c r="K5" s="198"/>
      <c r="L5" s="198"/>
      <c r="M5" s="198"/>
      <c r="N5" s="198"/>
      <c r="O5" s="119"/>
      <c r="P5" s="183"/>
      <c r="Q5" s="178"/>
      <c r="R5" s="184"/>
      <c r="S5" s="185" t="s">
        <v>116</v>
      </c>
      <c r="T5" s="6" t="s">
        <v>123</v>
      </c>
    </row>
    <row r="6" spans="1:19" ht="56.25" thickBot="1">
      <c r="A6" s="146" t="s">
        <v>1</v>
      </c>
      <c r="B6" s="114" t="s">
        <v>125</v>
      </c>
      <c r="C6" s="42" t="s">
        <v>3</v>
      </c>
      <c r="D6" s="42" t="s">
        <v>4</v>
      </c>
      <c r="E6" s="42" t="s">
        <v>5</v>
      </c>
      <c r="F6" s="42" t="s">
        <v>6</v>
      </c>
      <c r="G6" s="147" t="s">
        <v>127</v>
      </c>
      <c r="H6" s="147" t="s">
        <v>121</v>
      </c>
      <c r="I6" s="148"/>
      <c r="J6" s="149" t="s">
        <v>48</v>
      </c>
      <c r="K6" s="114" t="s">
        <v>10</v>
      </c>
      <c r="L6" s="114" t="s">
        <v>11</v>
      </c>
      <c r="M6" s="114" t="s">
        <v>12</v>
      </c>
      <c r="N6" s="147" t="s">
        <v>126</v>
      </c>
      <c r="O6" s="147" t="s">
        <v>122</v>
      </c>
      <c r="P6" s="199" t="s">
        <v>92</v>
      </c>
      <c r="Q6" s="200"/>
      <c r="R6" s="179" t="s">
        <v>91</v>
      </c>
      <c r="S6" s="176" t="s">
        <v>112</v>
      </c>
    </row>
    <row r="7" spans="1:20" ht="18.75" customHeight="1">
      <c r="A7" s="151">
        <v>36897</v>
      </c>
      <c r="B7" s="34">
        <v>0.21410459587955624</v>
      </c>
      <c r="C7" s="34">
        <f>$G7*C$5</f>
        <v>0.16000000000000003</v>
      </c>
      <c r="D7" s="34">
        <f>$G7*D$5</f>
        <v>0.22000000000000003</v>
      </c>
      <c r="E7" s="34">
        <f>$G7*E$5</f>
        <v>0.30000000000000004</v>
      </c>
      <c r="F7" s="34">
        <f>$G7*F$5</f>
        <v>0.36000000000000004</v>
      </c>
      <c r="G7" s="34">
        <v>0.4</v>
      </c>
      <c r="H7" s="34">
        <v>0.4</v>
      </c>
      <c r="I7" s="35"/>
      <c r="J7" s="152">
        <f aca="true" t="shared" si="0" ref="J7:J38">$B7*C7</f>
        <v>0.034256735340729004</v>
      </c>
      <c r="K7" s="153">
        <f aca="true" t="shared" si="1" ref="K7:K38">$B7*D7</f>
        <v>0.04710301109350238</v>
      </c>
      <c r="L7" s="153">
        <f aca="true" t="shared" si="2" ref="L7:L38">$B7*E7</f>
        <v>0.06423137876386688</v>
      </c>
      <c r="M7" s="153">
        <f aca="true" t="shared" si="3" ref="M7:M38">$B7*F7</f>
        <v>0.07707765451664025</v>
      </c>
      <c r="N7" s="154">
        <f aca="true" t="shared" si="4" ref="N7:N38">$B7*G7</f>
        <v>0.0856418383518225</v>
      </c>
      <c r="O7" s="154">
        <f aca="true" t="shared" si="5" ref="O7:O38">$B7*H7</f>
        <v>0.0856418383518225</v>
      </c>
      <c r="P7" s="172"/>
      <c r="Q7" s="177"/>
      <c r="R7" s="174">
        <f>N7/7</f>
        <v>0.012234548335974644</v>
      </c>
      <c r="S7" s="180">
        <f aca="true" t="shared" si="6" ref="S7:S58">N7/12*20*22*7.48/7</f>
        <v>3.355528790279979</v>
      </c>
      <c r="T7" s="28">
        <f>O7</f>
        <v>0.0856418383518225</v>
      </c>
    </row>
    <row r="8" spans="1:20" ht="18.75" customHeight="1">
      <c r="A8" s="151">
        <f aca="true" t="shared" si="7" ref="A8:A58">A7+7</f>
        <v>36904</v>
      </c>
      <c r="B8" s="34">
        <v>0.27527733755942946</v>
      </c>
      <c r="C8" s="34">
        <f aca="true" t="shared" si="8" ref="C8:F58">$G8*C$5</f>
        <v>0.16000000000000003</v>
      </c>
      <c r="D8" s="34">
        <f t="shared" si="8"/>
        <v>0.22000000000000003</v>
      </c>
      <c r="E8" s="34">
        <f t="shared" si="8"/>
        <v>0.30000000000000004</v>
      </c>
      <c r="F8" s="34">
        <f t="shared" si="8"/>
        <v>0.36000000000000004</v>
      </c>
      <c r="G8" s="34">
        <v>0.4</v>
      </c>
      <c r="H8" s="34">
        <v>0.4</v>
      </c>
      <c r="I8" s="35"/>
      <c r="J8" s="155">
        <f t="shared" si="0"/>
        <v>0.044044374009508724</v>
      </c>
      <c r="K8" s="156">
        <f t="shared" si="1"/>
        <v>0.06056101426307449</v>
      </c>
      <c r="L8" s="156">
        <f t="shared" si="2"/>
        <v>0.08258320126782885</v>
      </c>
      <c r="M8" s="156">
        <f t="shared" si="3"/>
        <v>0.09909984152139462</v>
      </c>
      <c r="N8" s="157">
        <f t="shared" si="4"/>
        <v>0.11011093502377178</v>
      </c>
      <c r="O8" s="157">
        <f t="shared" si="5"/>
        <v>0.11011093502377178</v>
      </c>
      <c r="P8" s="172"/>
      <c r="Q8" s="173"/>
      <c r="R8" s="174">
        <f aca="true" t="shared" si="9" ref="R8:R58">N8/7</f>
        <v>0.01573013357482454</v>
      </c>
      <c r="S8" s="163">
        <f t="shared" si="6"/>
        <v>4.314251301788544</v>
      </c>
      <c r="T8" s="28">
        <f>O8+T7</f>
        <v>0.19575277337559427</v>
      </c>
    </row>
    <row r="9" spans="1:20" ht="18.75" customHeight="1">
      <c r="A9" s="151">
        <f t="shared" si="7"/>
        <v>36911</v>
      </c>
      <c r="B9" s="34">
        <v>0.2956682514527205</v>
      </c>
      <c r="C9" s="34">
        <f t="shared" si="8"/>
        <v>0.16000000000000003</v>
      </c>
      <c r="D9" s="34">
        <f t="shared" si="8"/>
        <v>0.22000000000000003</v>
      </c>
      <c r="E9" s="34">
        <f t="shared" si="8"/>
        <v>0.30000000000000004</v>
      </c>
      <c r="F9" s="34">
        <f t="shared" si="8"/>
        <v>0.36000000000000004</v>
      </c>
      <c r="G9" s="34">
        <v>0.4</v>
      </c>
      <c r="H9" s="34">
        <v>0.4</v>
      </c>
      <c r="I9" s="35"/>
      <c r="J9" s="155">
        <f t="shared" si="0"/>
        <v>0.047306920232435296</v>
      </c>
      <c r="K9" s="156">
        <f t="shared" si="1"/>
        <v>0.06504701531959853</v>
      </c>
      <c r="L9" s="156">
        <f t="shared" si="2"/>
        <v>0.08870047543581618</v>
      </c>
      <c r="M9" s="156">
        <f t="shared" si="3"/>
        <v>0.1064405705229794</v>
      </c>
      <c r="N9" s="157">
        <f t="shared" si="4"/>
        <v>0.11826730058108821</v>
      </c>
      <c r="O9" s="157">
        <f t="shared" si="5"/>
        <v>0.11826730058108821</v>
      </c>
      <c r="P9" s="172"/>
      <c r="Q9" s="173"/>
      <c r="R9" s="174">
        <f t="shared" si="9"/>
        <v>0.016895328654441173</v>
      </c>
      <c r="S9" s="163">
        <f t="shared" si="6"/>
        <v>4.6338254722914</v>
      </c>
      <c r="T9" s="28">
        <f aca="true" t="shared" si="10" ref="T9:T58">O9+T8</f>
        <v>0.31402007395668247</v>
      </c>
    </row>
    <row r="10" spans="1:20" ht="18.75" customHeight="1">
      <c r="A10" s="151">
        <f t="shared" si="7"/>
        <v>36918</v>
      </c>
      <c r="B10" s="34">
        <v>0.3568409931325937</v>
      </c>
      <c r="C10" s="34">
        <f t="shared" si="8"/>
        <v>0.16000000000000003</v>
      </c>
      <c r="D10" s="34">
        <f t="shared" si="8"/>
        <v>0.22000000000000003</v>
      </c>
      <c r="E10" s="34">
        <f t="shared" si="8"/>
        <v>0.30000000000000004</v>
      </c>
      <c r="F10" s="34">
        <f t="shared" si="8"/>
        <v>0.36000000000000004</v>
      </c>
      <c r="G10" s="34">
        <v>0.4</v>
      </c>
      <c r="H10" s="34">
        <v>0.4</v>
      </c>
      <c r="I10" s="35"/>
      <c r="J10" s="155">
        <f t="shared" si="0"/>
        <v>0.057094558901215</v>
      </c>
      <c r="K10" s="156">
        <f t="shared" si="1"/>
        <v>0.07850501848917063</v>
      </c>
      <c r="L10" s="156">
        <f t="shared" si="2"/>
        <v>0.10705229793977813</v>
      </c>
      <c r="M10" s="156">
        <f t="shared" si="3"/>
        <v>0.12846275752773376</v>
      </c>
      <c r="N10" s="157">
        <f t="shared" si="4"/>
        <v>0.1427363972530375</v>
      </c>
      <c r="O10" s="157">
        <f t="shared" si="5"/>
        <v>0.1427363972530375</v>
      </c>
      <c r="P10" s="172" t="s">
        <v>100</v>
      </c>
      <c r="Q10" s="173">
        <f>SUM(N7:N10)</f>
        <v>0.45675647120971996</v>
      </c>
      <c r="R10" s="174">
        <f t="shared" si="9"/>
        <v>0.02039091389329107</v>
      </c>
      <c r="S10" s="163">
        <f t="shared" si="6"/>
        <v>5.592547983799966</v>
      </c>
      <c r="T10" s="28">
        <f t="shared" si="10"/>
        <v>0.45675647120971996</v>
      </c>
    </row>
    <row r="11" spans="1:20" ht="18.75" customHeight="1">
      <c r="A11" s="151">
        <f t="shared" si="7"/>
        <v>36925</v>
      </c>
      <c r="B11" s="34">
        <v>0.41801373481246695</v>
      </c>
      <c r="C11" s="34">
        <f t="shared" si="8"/>
        <v>0.16000000000000003</v>
      </c>
      <c r="D11" s="34">
        <f t="shared" si="8"/>
        <v>0.22000000000000003</v>
      </c>
      <c r="E11" s="34">
        <f t="shared" si="8"/>
        <v>0.30000000000000004</v>
      </c>
      <c r="F11" s="34">
        <f t="shared" si="8"/>
        <v>0.36000000000000004</v>
      </c>
      <c r="G11" s="34">
        <v>0.4</v>
      </c>
      <c r="H11" s="34">
        <v>0.4</v>
      </c>
      <c r="I11" s="35"/>
      <c r="J11" s="155">
        <f t="shared" si="0"/>
        <v>0.06688219756999472</v>
      </c>
      <c r="K11" s="156">
        <f t="shared" si="1"/>
        <v>0.09196302165874275</v>
      </c>
      <c r="L11" s="156">
        <f t="shared" si="2"/>
        <v>0.1254041204437401</v>
      </c>
      <c r="M11" s="156">
        <f t="shared" si="3"/>
        <v>0.15048494453248812</v>
      </c>
      <c r="N11" s="157">
        <f t="shared" si="4"/>
        <v>0.1672054939249868</v>
      </c>
      <c r="O11" s="157">
        <f t="shared" si="5"/>
        <v>0.1672054939249868</v>
      </c>
      <c r="P11" s="172"/>
      <c r="Q11" s="173"/>
      <c r="R11" s="174">
        <f t="shared" si="9"/>
        <v>0.02388649913214097</v>
      </c>
      <c r="S11" s="163">
        <f t="shared" si="6"/>
        <v>6.551270495308531</v>
      </c>
      <c r="T11" s="28">
        <f t="shared" si="10"/>
        <v>0.6239619651347068</v>
      </c>
    </row>
    <row r="12" spans="1:20" ht="18.75" customHeight="1">
      <c r="A12" s="151">
        <f t="shared" si="7"/>
        <v>36932</v>
      </c>
      <c r="B12" s="34">
        <v>0.46899101954569467</v>
      </c>
      <c r="C12" s="34">
        <f t="shared" si="8"/>
        <v>0.16000000000000003</v>
      </c>
      <c r="D12" s="34">
        <f t="shared" si="8"/>
        <v>0.22000000000000003</v>
      </c>
      <c r="E12" s="34">
        <f t="shared" si="8"/>
        <v>0.30000000000000004</v>
      </c>
      <c r="F12" s="34">
        <f t="shared" si="8"/>
        <v>0.36000000000000004</v>
      </c>
      <c r="G12" s="34">
        <v>0.4</v>
      </c>
      <c r="H12" s="34">
        <v>0.4</v>
      </c>
      <c r="I12" s="35"/>
      <c r="J12" s="155">
        <f t="shared" si="0"/>
        <v>0.07503856312731116</v>
      </c>
      <c r="K12" s="156">
        <f t="shared" si="1"/>
        <v>0.10317802430005284</v>
      </c>
      <c r="L12" s="156">
        <f t="shared" si="2"/>
        <v>0.14069730586370843</v>
      </c>
      <c r="M12" s="156">
        <f t="shared" si="3"/>
        <v>0.1688367670364501</v>
      </c>
      <c r="N12" s="157">
        <f t="shared" si="4"/>
        <v>0.18759640781827788</v>
      </c>
      <c r="O12" s="157">
        <f t="shared" si="5"/>
        <v>0.18759640781827788</v>
      </c>
      <c r="P12" s="172"/>
      <c r="Q12" s="173"/>
      <c r="R12" s="174">
        <f t="shared" si="9"/>
        <v>0.026799486831182554</v>
      </c>
      <c r="S12" s="163">
        <f t="shared" si="6"/>
        <v>7.350205921565669</v>
      </c>
      <c r="T12" s="28">
        <f t="shared" si="10"/>
        <v>0.8115583729529847</v>
      </c>
    </row>
    <row r="13" spans="1:20" ht="18.75" customHeight="1">
      <c r="A13" s="151">
        <f t="shared" si="7"/>
        <v>36939</v>
      </c>
      <c r="B13" s="34">
        <v>0.5403592181722134</v>
      </c>
      <c r="C13" s="34">
        <f t="shared" si="8"/>
        <v>0.16000000000000003</v>
      </c>
      <c r="D13" s="34">
        <f t="shared" si="8"/>
        <v>0.22000000000000003</v>
      </c>
      <c r="E13" s="34">
        <f t="shared" si="8"/>
        <v>0.30000000000000004</v>
      </c>
      <c r="F13" s="34">
        <f t="shared" si="8"/>
        <v>0.36000000000000004</v>
      </c>
      <c r="G13" s="34">
        <v>0.4</v>
      </c>
      <c r="H13" s="34">
        <v>0.4</v>
      </c>
      <c r="I13" s="35"/>
      <c r="J13" s="155">
        <f t="shared" si="0"/>
        <v>0.08645747490755416</v>
      </c>
      <c r="K13" s="156">
        <f t="shared" si="1"/>
        <v>0.11887902799788697</v>
      </c>
      <c r="L13" s="156">
        <f t="shared" si="2"/>
        <v>0.16210776545166405</v>
      </c>
      <c r="M13" s="156">
        <f t="shared" si="3"/>
        <v>0.19452931854199687</v>
      </c>
      <c r="N13" s="157">
        <f t="shared" si="4"/>
        <v>0.2161436872688854</v>
      </c>
      <c r="O13" s="157">
        <f t="shared" si="5"/>
        <v>0.2161436872688854</v>
      </c>
      <c r="P13" s="172"/>
      <c r="Q13" s="173"/>
      <c r="R13" s="174">
        <f t="shared" si="9"/>
        <v>0.030877669609840768</v>
      </c>
      <c r="S13" s="163">
        <f t="shared" si="6"/>
        <v>8.468715518325661</v>
      </c>
      <c r="T13" s="28">
        <f t="shared" si="10"/>
        <v>1.02770206022187</v>
      </c>
    </row>
    <row r="14" spans="1:20" ht="18.75" customHeight="1">
      <c r="A14" s="151">
        <f t="shared" si="7"/>
        <v>36946</v>
      </c>
      <c r="B14" s="34">
        <v>0.6117274167987321</v>
      </c>
      <c r="C14" s="34">
        <f t="shared" si="8"/>
        <v>0.16000000000000003</v>
      </c>
      <c r="D14" s="34">
        <f t="shared" si="8"/>
        <v>0.22000000000000003</v>
      </c>
      <c r="E14" s="34">
        <f t="shared" si="8"/>
        <v>0.30000000000000004</v>
      </c>
      <c r="F14" s="34">
        <f t="shared" si="8"/>
        <v>0.36000000000000004</v>
      </c>
      <c r="G14" s="34">
        <v>0.4</v>
      </c>
      <c r="H14" s="34">
        <v>0.43</v>
      </c>
      <c r="I14" s="35"/>
      <c r="J14" s="155">
        <f t="shared" si="0"/>
        <v>0.09787638668779716</v>
      </c>
      <c r="K14" s="156">
        <f t="shared" si="1"/>
        <v>0.13458003169572108</v>
      </c>
      <c r="L14" s="156">
        <f t="shared" si="2"/>
        <v>0.18351822503961965</v>
      </c>
      <c r="M14" s="156">
        <f t="shared" si="3"/>
        <v>0.2202218700475436</v>
      </c>
      <c r="N14" s="157">
        <f t="shared" si="4"/>
        <v>0.24469096671949286</v>
      </c>
      <c r="O14" s="157">
        <f t="shared" si="5"/>
        <v>0.2630427892234548</v>
      </c>
      <c r="P14" s="172"/>
      <c r="Q14" s="173"/>
      <c r="R14" s="174">
        <f t="shared" si="9"/>
        <v>0.03495585238849898</v>
      </c>
      <c r="S14" s="163">
        <f t="shared" si="6"/>
        <v>9.587225115085655</v>
      </c>
      <c r="T14" s="28">
        <f t="shared" si="10"/>
        <v>1.2907448494453249</v>
      </c>
    </row>
    <row r="15" spans="1:20" ht="18.75" customHeight="1">
      <c r="A15" s="151">
        <f t="shared" si="7"/>
        <v>36953</v>
      </c>
      <c r="B15" s="34">
        <v>0.6932910723718965</v>
      </c>
      <c r="C15" s="34">
        <f t="shared" si="8"/>
        <v>0.196</v>
      </c>
      <c r="D15" s="34">
        <f t="shared" si="8"/>
        <v>0.2695</v>
      </c>
      <c r="E15" s="34">
        <f t="shared" si="8"/>
        <v>0.3675</v>
      </c>
      <c r="F15" s="34">
        <f t="shared" si="8"/>
        <v>0.441</v>
      </c>
      <c r="G15" s="34">
        <v>0.49</v>
      </c>
      <c r="H15" s="34">
        <v>0.49</v>
      </c>
      <c r="I15" s="35"/>
      <c r="J15" s="155">
        <f t="shared" si="0"/>
        <v>0.13588505018489172</v>
      </c>
      <c r="K15" s="156">
        <f t="shared" si="1"/>
        <v>0.1868419440042261</v>
      </c>
      <c r="L15" s="156">
        <f t="shared" si="2"/>
        <v>0.25478446909667196</v>
      </c>
      <c r="M15" s="156">
        <f t="shared" si="3"/>
        <v>0.30574136291600634</v>
      </c>
      <c r="N15" s="157">
        <f t="shared" si="4"/>
        <v>0.33971262546222925</v>
      </c>
      <c r="O15" s="157">
        <f t="shared" si="5"/>
        <v>0.33971262546222925</v>
      </c>
      <c r="P15" s="172" t="s">
        <v>101</v>
      </c>
      <c r="Q15" s="173">
        <f>SUM(N11:N15)-2*R15</f>
        <v>1.0582884310618066</v>
      </c>
      <c r="R15" s="174">
        <f t="shared" si="9"/>
        <v>0.04853037506603275</v>
      </c>
      <c r="S15" s="163">
        <f t="shared" si="6"/>
        <v>13.310264201443916</v>
      </c>
      <c r="T15" s="28">
        <f t="shared" si="10"/>
        <v>1.630457474907554</v>
      </c>
    </row>
    <row r="16" spans="1:20" ht="18.75" customHeight="1">
      <c r="A16" s="151">
        <f t="shared" si="7"/>
        <v>36960</v>
      </c>
      <c r="B16" s="34">
        <v>0.7850501848917063</v>
      </c>
      <c r="C16" s="34">
        <f t="shared" si="8"/>
        <v>0.22799999999999998</v>
      </c>
      <c r="D16" s="34">
        <f t="shared" si="8"/>
        <v>0.3135</v>
      </c>
      <c r="E16" s="34">
        <f t="shared" si="8"/>
        <v>0.4275</v>
      </c>
      <c r="F16" s="34">
        <f t="shared" si="8"/>
        <v>0.513</v>
      </c>
      <c r="G16" s="34">
        <v>0.57</v>
      </c>
      <c r="H16" s="34">
        <v>0.57</v>
      </c>
      <c r="I16" s="35"/>
      <c r="J16" s="155">
        <f t="shared" si="0"/>
        <v>0.17899144215530902</v>
      </c>
      <c r="K16" s="156">
        <f t="shared" si="1"/>
        <v>0.24611323296354992</v>
      </c>
      <c r="L16" s="156">
        <f t="shared" si="2"/>
        <v>0.33560895404120444</v>
      </c>
      <c r="M16" s="156">
        <f t="shared" si="3"/>
        <v>0.4027307448494453</v>
      </c>
      <c r="N16" s="157">
        <f t="shared" si="4"/>
        <v>0.44747860538827255</v>
      </c>
      <c r="O16" s="157">
        <f t="shared" si="5"/>
        <v>0.44747860538827255</v>
      </c>
      <c r="P16" s="172"/>
      <c r="Q16" s="173"/>
      <c r="R16" s="174">
        <f t="shared" si="9"/>
        <v>0.06392551505546751</v>
      </c>
      <c r="S16" s="163">
        <f t="shared" si="6"/>
        <v>17.53263792921289</v>
      </c>
      <c r="T16" s="28">
        <f t="shared" si="10"/>
        <v>2.0779360802958267</v>
      </c>
    </row>
    <row r="17" spans="1:20" ht="18.75" customHeight="1">
      <c r="A17" s="151">
        <f t="shared" si="7"/>
        <v>36967</v>
      </c>
      <c r="B17" s="34">
        <v>0.8870047543581616</v>
      </c>
      <c r="C17" s="34">
        <f t="shared" si="8"/>
        <v>0.256</v>
      </c>
      <c r="D17" s="34">
        <f t="shared" si="8"/>
        <v>0.35200000000000004</v>
      </c>
      <c r="E17" s="34">
        <f t="shared" si="8"/>
        <v>0.48</v>
      </c>
      <c r="F17" s="34">
        <f t="shared" si="8"/>
        <v>0.5760000000000001</v>
      </c>
      <c r="G17" s="34">
        <v>0.64</v>
      </c>
      <c r="H17" s="34">
        <v>0.64</v>
      </c>
      <c r="I17" s="35"/>
      <c r="J17" s="155">
        <f t="shared" si="0"/>
        <v>0.22707321711568937</v>
      </c>
      <c r="K17" s="156">
        <f t="shared" si="1"/>
        <v>0.31222567353407293</v>
      </c>
      <c r="L17" s="156">
        <f t="shared" si="2"/>
        <v>0.4257622820919176</v>
      </c>
      <c r="M17" s="156">
        <f t="shared" si="3"/>
        <v>0.5109147385103011</v>
      </c>
      <c r="N17" s="157">
        <f t="shared" si="4"/>
        <v>0.5676830427892234</v>
      </c>
      <c r="O17" s="157">
        <f t="shared" si="5"/>
        <v>0.5676830427892234</v>
      </c>
      <c r="P17" s="172"/>
      <c r="Q17" s="173"/>
      <c r="R17" s="174">
        <f t="shared" si="9"/>
        <v>0.08109757754131763</v>
      </c>
      <c r="S17" s="163">
        <f t="shared" si="6"/>
        <v>22.242362266998718</v>
      </c>
      <c r="T17" s="28">
        <f t="shared" si="10"/>
        <v>2.64561912308505</v>
      </c>
    </row>
    <row r="18" spans="1:20" ht="18.75" customHeight="1">
      <c r="A18" s="151">
        <f t="shared" si="7"/>
        <v>36974</v>
      </c>
      <c r="B18" s="34">
        <v>0.9787638668779715</v>
      </c>
      <c r="C18" s="34">
        <f t="shared" si="8"/>
        <v>0.2665316455696202</v>
      </c>
      <c r="D18" s="34">
        <f t="shared" si="8"/>
        <v>0.36648101265822786</v>
      </c>
      <c r="E18" s="34">
        <f t="shared" si="8"/>
        <v>0.49974683544303794</v>
      </c>
      <c r="F18" s="34">
        <f t="shared" si="8"/>
        <v>0.5996962025316456</v>
      </c>
      <c r="G18" s="34">
        <v>0.6663291139240506</v>
      </c>
      <c r="H18" s="34">
        <v>0.69</v>
      </c>
      <c r="I18" s="35"/>
      <c r="J18" s="155">
        <f t="shared" si="0"/>
        <v>0.26087154406307045</v>
      </c>
      <c r="K18" s="156">
        <f t="shared" si="1"/>
        <v>0.3586983730867219</v>
      </c>
      <c r="L18" s="156">
        <f t="shared" si="2"/>
        <v>0.4891341451182571</v>
      </c>
      <c r="M18" s="156">
        <f t="shared" si="3"/>
        <v>0.5869609741419085</v>
      </c>
      <c r="N18" s="157">
        <f t="shared" si="4"/>
        <v>0.6521788601576761</v>
      </c>
      <c r="O18" s="157">
        <f t="shared" si="5"/>
        <v>0.6753470681458003</v>
      </c>
      <c r="P18" s="172"/>
      <c r="Q18" s="173"/>
      <c r="R18" s="174">
        <f t="shared" si="9"/>
        <v>0.09316840859395373</v>
      </c>
      <c r="S18" s="163">
        <f t="shared" si="6"/>
        <v>25.55298886370171</v>
      </c>
      <c r="T18" s="28">
        <f t="shared" si="10"/>
        <v>3.32096619123085</v>
      </c>
    </row>
    <row r="19" spans="1:20" ht="18.75" customHeight="1">
      <c r="A19" s="151">
        <f t="shared" si="7"/>
        <v>36981</v>
      </c>
      <c r="B19" s="34">
        <v>1.0909138932910725</v>
      </c>
      <c r="C19" s="34">
        <f t="shared" si="8"/>
        <v>0.28651162790697676</v>
      </c>
      <c r="D19" s="34">
        <f t="shared" si="8"/>
        <v>0.3939534883720931</v>
      </c>
      <c r="E19" s="34">
        <f t="shared" si="8"/>
        <v>0.5372093023255815</v>
      </c>
      <c r="F19" s="34">
        <f t="shared" si="8"/>
        <v>0.6446511627906978</v>
      </c>
      <c r="G19" s="34">
        <v>0.7162790697674419</v>
      </c>
      <c r="H19" s="34">
        <v>0.73</v>
      </c>
      <c r="I19" s="35"/>
      <c r="J19" s="155">
        <f t="shared" si="0"/>
        <v>0.31255951547316313</v>
      </c>
      <c r="K19" s="156">
        <f t="shared" si="1"/>
        <v>0.42976933377559934</v>
      </c>
      <c r="L19" s="156">
        <f t="shared" si="2"/>
        <v>0.5860490915121809</v>
      </c>
      <c r="M19" s="156">
        <f t="shared" si="3"/>
        <v>0.703258909814617</v>
      </c>
      <c r="N19" s="157">
        <f t="shared" si="4"/>
        <v>0.7813987886829078</v>
      </c>
      <c r="O19" s="157">
        <f t="shared" si="5"/>
        <v>0.7963671421024828</v>
      </c>
      <c r="P19" s="172" t="s">
        <v>102</v>
      </c>
      <c r="Q19" s="173">
        <f>SUM(N16:N19)+2*R15</f>
        <v>2.545800047150146</v>
      </c>
      <c r="R19" s="174">
        <f t="shared" si="9"/>
        <v>0.11162839838327254</v>
      </c>
      <c r="S19" s="163">
        <f t="shared" si="6"/>
        <v>30.615948729918887</v>
      </c>
      <c r="T19" s="28">
        <f t="shared" si="10"/>
        <v>4.117333333333333</v>
      </c>
    </row>
    <row r="20" spans="1:20" ht="18.75" customHeight="1">
      <c r="A20" s="151">
        <f t="shared" si="7"/>
        <v>36988</v>
      </c>
      <c r="B20" s="34">
        <v>1.1928684627575277</v>
      </c>
      <c r="C20" s="34">
        <f t="shared" si="8"/>
        <v>0.2954893617021277</v>
      </c>
      <c r="D20" s="34">
        <f t="shared" si="8"/>
        <v>0.40629787234042564</v>
      </c>
      <c r="E20" s="34">
        <f t="shared" si="8"/>
        <v>0.5540425531914894</v>
      </c>
      <c r="F20" s="34">
        <f t="shared" si="8"/>
        <v>0.6648510638297873</v>
      </c>
      <c r="G20" s="34">
        <v>0.7387234042553192</v>
      </c>
      <c r="H20" s="34">
        <v>0.76</v>
      </c>
      <c r="I20" s="35"/>
      <c r="J20" s="155">
        <f t="shared" si="0"/>
        <v>0.35247994065482013</v>
      </c>
      <c r="K20" s="156">
        <f t="shared" si="1"/>
        <v>0.48465991840037775</v>
      </c>
      <c r="L20" s="156">
        <f t="shared" si="2"/>
        <v>0.6608998887277877</v>
      </c>
      <c r="M20" s="156">
        <f t="shared" si="3"/>
        <v>0.7930798664733453</v>
      </c>
      <c r="N20" s="157">
        <f t="shared" si="4"/>
        <v>0.8811998516370503</v>
      </c>
      <c r="O20" s="157">
        <f t="shared" si="5"/>
        <v>0.906580031695721</v>
      </c>
      <c r="P20" s="172"/>
      <c r="Q20" s="173"/>
      <c r="R20" s="174">
        <f t="shared" si="9"/>
        <v>0.1258856930910072</v>
      </c>
      <c r="S20" s="163">
        <f t="shared" si="6"/>
        <v>34.526249425093575</v>
      </c>
      <c r="T20" s="28">
        <f t="shared" si="10"/>
        <v>5.0239133650290535</v>
      </c>
    </row>
    <row r="21" spans="1:20" ht="18.75" customHeight="1">
      <c r="A21" s="151">
        <f t="shared" si="7"/>
        <v>36995</v>
      </c>
      <c r="B21" s="34">
        <v>1.315213946117274</v>
      </c>
      <c r="C21" s="34">
        <f t="shared" si="8"/>
        <v>0.30153846153846153</v>
      </c>
      <c r="D21" s="34">
        <f t="shared" si="8"/>
        <v>0.41461538461538466</v>
      </c>
      <c r="E21" s="34">
        <f t="shared" si="8"/>
        <v>0.5653846153846154</v>
      </c>
      <c r="F21" s="34">
        <f t="shared" si="8"/>
        <v>0.6784615384615384</v>
      </c>
      <c r="G21" s="34">
        <v>0.7538461538461538</v>
      </c>
      <c r="H21" s="34">
        <v>0.79</v>
      </c>
      <c r="I21" s="35"/>
      <c r="J21" s="155">
        <f t="shared" si="0"/>
        <v>0.39658758990613185</v>
      </c>
      <c r="K21" s="156">
        <f t="shared" si="1"/>
        <v>0.5453079361209314</v>
      </c>
      <c r="L21" s="156">
        <f t="shared" si="2"/>
        <v>0.7436017310739972</v>
      </c>
      <c r="M21" s="156">
        <f t="shared" si="3"/>
        <v>0.8923220772887966</v>
      </c>
      <c r="N21" s="157">
        <f t="shared" si="4"/>
        <v>0.9914689747653297</v>
      </c>
      <c r="O21" s="157">
        <f t="shared" si="5"/>
        <v>1.0390190174326466</v>
      </c>
      <c r="P21" s="172"/>
      <c r="Q21" s="173"/>
      <c r="R21" s="174">
        <f t="shared" si="9"/>
        <v>0.14163842496647566</v>
      </c>
      <c r="S21" s="163">
        <f t="shared" si="6"/>
        <v>38.84669868747206</v>
      </c>
      <c r="T21" s="28">
        <f t="shared" si="10"/>
        <v>6.0629323824617</v>
      </c>
    </row>
    <row r="22" spans="1:20" ht="18.75" customHeight="1">
      <c r="A22" s="151">
        <f t="shared" si="7"/>
        <v>37002</v>
      </c>
      <c r="B22" s="34">
        <v>1.4069730586370839</v>
      </c>
      <c r="C22" s="34">
        <f t="shared" si="8"/>
        <v>0.32400000000000007</v>
      </c>
      <c r="D22" s="34">
        <f t="shared" si="8"/>
        <v>0.44550000000000006</v>
      </c>
      <c r="E22" s="34">
        <f t="shared" si="8"/>
        <v>0.6075</v>
      </c>
      <c r="F22" s="34">
        <f t="shared" si="8"/>
        <v>0.7290000000000001</v>
      </c>
      <c r="G22" s="34">
        <v>0.81</v>
      </c>
      <c r="H22" s="34">
        <v>0.83</v>
      </c>
      <c r="I22" s="35"/>
      <c r="J22" s="155">
        <f t="shared" si="0"/>
        <v>0.4558592709984153</v>
      </c>
      <c r="K22" s="156">
        <f t="shared" si="1"/>
        <v>0.6268064976228209</v>
      </c>
      <c r="L22" s="156">
        <f t="shared" si="2"/>
        <v>0.8547361331220286</v>
      </c>
      <c r="M22" s="156">
        <f t="shared" si="3"/>
        <v>1.0256833597464343</v>
      </c>
      <c r="N22" s="157">
        <f t="shared" si="4"/>
        <v>1.139648177496038</v>
      </c>
      <c r="O22" s="157">
        <f t="shared" si="5"/>
        <v>1.1677876386687795</v>
      </c>
      <c r="P22" s="172"/>
      <c r="Q22" s="173"/>
      <c r="R22" s="174">
        <f t="shared" si="9"/>
        <v>0.162806882499434</v>
      </c>
      <c r="S22" s="163">
        <f t="shared" si="6"/>
        <v>44.65250097351144</v>
      </c>
      <c r="T22" s="28">
        <f t="shared" si="10"/>
        <v>7.230720021130479</v>
      </c>
    </row>
    <row r="23" spans="1:20" ht="18.75" customHeight="1">
      <c r="A23" s="151">
        <f t="shared" si="7"/>
        <v>37009</v>
      </c>
      <c r="B23" s="34">
        <v>1.4885367142102481</v>
      </c>
      <c r="C23" s="34">
        <f t="shared" si="8"/>
        <v>0.3332231404958679</v>
      </c>
      <c r="D23" s="34">
        <f t="shared" si="8"/>
        <v>0.4581818181818183</v>
      </c>
      <c r="E23" s="34">
        <f t="shared" si="8"/>
        <v>0.6247933884297522</v>
      </c>
      <c r="F23" s="34">
        <f t="shared" si="8"/>
        <v>0.7497520661157027</v>
      </c>
      <c r="G23" s="34">
        <v>0.8330578512396696</v>
      </c>
      <c r="H23" s="34">
        <v>0.86</v>
      </c>
      <c r="I23" s="35"/>
      <c r="J23" s="155">
        <f t="shared" si="0"/>
        <v>0.496014878652539</v>
      </c>
      <c r="K23" s="156">
        <f t="shared" si="1"/>
        <v>0.6820204581472411</v>
      </c>
      <c r="L23" s="156">
        <f t="shared" si="2"/>
        <v>0.9300278974735106</v>
      </c>
      <c r="M23" s="156">
        <f t="shared" si="3"/>
        <v>1.1160334769682128</v>
      </c>
      <c r="N23" s="157">
        <f t="shared" si="4"/>
        <v>1.2400371966313475</v>
      </c>
      <c r="O23" s="157">
        <f t="shared" si="5"/>
        <v>1.2801415742208133</v>
      </c>
      <c r="P23" s="172" t="s">
        <v>103</v>
      </c>
      <c r="Q23" s="173">
        <f>SUM(N20:N23)+2*R24</f>
        <v>4.643859747280954</v>
      </c>
      <c r="R23" s="174">
        <f t="shared" si="9"/>
        <v>0.17714817094733534</v>
      </c>
      <c r="S23" s="163">
        <f t="shared" si="6"/>
        <v>48.58583835182251</v>
      </c>
      <c r="T23" s="28">
        <f t="shared" si="10"/>
        <v>8.510861595351292</v>
      </c>
    </row>
    <row r="24" spans="1:20" ht="18.75" customHeight="1">
      <c r="A24" s="151">
        <f t="shared" si="7"/>
        <v>37016</v>
      </c>
      <c r="B24" s="34">
        <v>1.5904912836767036</v>
      </c>
      <c r="C24" s="34">
        <f t="shared" si="8"/>
        <v>0.34461538461538466</v>
      </c>
      <c r="D24" s="34">
        <f t="shared" si="8"/>
        <v>0.4738461538461539</v>
      </c>
      <c r="E24" s="34">
        <f t="shared" si="8"/>
        <v>0.6461538461538462</v>
      </c>
      <c r="F24" s="34">
        <f t="shared" si="8"/>
        <v>0.7753846153846154</v>
      </c>
      <c r="G24" s="34">
        <v>0.8615384615384616</v>
      </c>
      <c r="H24" s="34">
        <v>0.89</v>
      </c>
      <c r="I24" s="35"/>
      <c r="J24" s="155">
        <f t="shared" si="0"/>
        <v>0.5481077654516641</v>
      </c>
      <c r="K24" s="156">
        <f t="shared" si="1"/>
        <v>0.7536481774960381</v>
      </c>
      <c r="L24" s="156">
        <f t="shared" si="2"/>
        <v>1.02770206022187</v>
      </c>
      <c r="M24" s="156">
        <f t="shared" si="3"/>
        <v>1.233242472266244</v>
      </c>
      <c r="N24" s="157">
        <f t="shared" si="4"/>
        <v>1.37026941362916</v>
      </c>
      <c r="O24" s="157">
        <f t="shared" si="5"/>
        <v>1.415537242472266</v>
      </c>
      <c r="P24" s="172"/>
      <c r="Q24" s="173"/>
      <c r="R24" s="174">
        <f t="shared" si="9"/>
        <v>0.1957527733755943</v>
      </c>
      <c r="S24" s="163">
        <f t="shared" si="6"/>
        <v>53.68846064447966</v>
      </c>
      <c r="T24" s="28">
        <f t="shared" si="10"/>
        <v>9.926398837823559</v>
      </c>
    </row>
    <row r="25" spans="1:20" ht="18.75" customHeight="1">
      <c r="A25" s="151">
        <f t="shared" si="7"/>
        <v>37023</v>
      </c>
      <c r="B25" s="34">
        <v>1.6618594823032222</v>
      </c>
      <c r="C25" s="34">
        <f t="shared" si="8"/>
        <v>0.3616000000000001</v>
      </c>
      <c r="D25" s="34">
        <f t="shared" si="8"/>
        <v>0.49720000000000014</v>
      </c>
      <c r="E25" s="34">
        <f t="shared" si="8"/>
        <v>0.6780000000000002</v>
      </c>
      <c r="F25" s="34">
        <f t="shared" si="8"/>
        <v>0.8136000000000001</v>
      </c>
      <c r="G25" s="34">
        <v>0.9040000000000001</v>
      </c>
      <c r="H25" s="34">
        <v>0.93</v>
      </c>
      <c r="I25" s="35"/>
      <c r="J25" s="155">
        <f t="shared" si="0"/>
        <v>0.6009283888008453</v>
      </c>
      <c r="K25" s="156">
        <f t="shared" si="1"/>
        <v>0.8262765346011623</v>
      </c>
      <c r="L25" s="156">
        <f t="shared" si="2"/>
        <v>1.126740729001585</v>
      </c>
      <c r="M25" s="156">
        <f t="shared" si="3"/>
        <v>1.3520888748019018</v>
      </c>
      <c r="N25" s="157">
        <f t="shared" si="4"/>
        <v>1.5023209720021131</v>
      </c>
      <c r="O25" s="157">
        <f t="shared" si="5"/>
        <v>1.5455293185419967</v>
      </c>
      <c r="P25" s="172"/>
      <c r="Q25" s="173"/>
      <c r="R25" s="174">
        <f t="shared" si="9"/>
        <v>0.21461728171458758</v>
      </c>
      <c r="S25" s="163">
        <f t="shared" si="6"/>
        <v>58.86236646492089</v>
      </c>
      <c r="T25" s="28">
        <f t="shared" si="10"/>
        <v>11.471928156365555</v>
      </c>
    </row>
    <row r="26" spans="1:20" ht="18.75" customHeight="1">
      <c r="A26" s="151">
        <f t="shared" si="7"/>
        <v>37030</v>
      </c>
      <c r="B26" s="34">
        <v>1.733227680929741</v>
      </c>
      <c r="C26" s="34">
        <f t="shared" si="8"/>
        <v>0.3753513513513514</v>
      </c>
      <c r="D26" s="34">
        <f t="shared" si="8"/>
        <v>0.5161081081081081</v>
      </c>
      <c r="E26" s="34">
        <f t="shared" si="8"/>
        <v>0.7037837837837838</v>
      </c>
      <c r="F26" s="34">
        <f t="shared" si="8"/>
        <v>0.8445405405405406</v>
      </c>
      <c r="G26" s="34">
        <v>0.9383783783783785</v>
      </c>
      <c r="H26" s="34">
        <v>0.96</v>
      </c>
      <c r="I26" s="35"/>
      <c r="J26" s="155">
        <f t="shared" si="0"/>
        <v>0.6505693522365472</v>
      </c>
      <c r="K26" s="156">
        <f t="shared" si="1"/>
        <v>0.8945328593252524</v>
      </c>
      <c r="L26" s="156">
        <f t="shared" si="2"/>
        <v>1.219817535443526</v>
      </c>
      <c r="M26" s="156">
        <f t="shared" si="3"/>
        <v>1.4637810425322313</v>
      </c>
      <c r="N26" s="157">
        <f t="shared" si="4"/>
        <v>1.626423380591368</v>
      </c>
      <c r="O26" s="157">
        <f t="shared" si="5"/>
        <v>1.6638985736925513</v>
      </c>
      <c r="P26" s="172"/>
      <c r="Q26" s="173"/>
      <c r="R26" s="174">
        <f t="shared" si="9"/>
        <v>0.23234619722733826</v>
      </c>
      <c r="S26" s="163">
        <f t="shared" si="6"/>
        <v>63.72481702621798</v>
      </c>
      <c r="T26" s="28">
        <f t="shared" si="10"/>
        <v>13.135826730058106</v>
      </c>
    </row>
    <row r="27" spans="1:20" ht="18.75" customHeight="1">
      <c r="A27" s="151">
        <f t="shared" si="7"/>
        <v>37037</v>
      </c>
      <c r="B27" s="34">
        <v>1.7842049656629688</v>
      </c>
      <c r="C27" s="34">
        <f t="shared" si="8"/>
        <v>0.3848205128205129</v>
      </c>
      <c r="D27" s="34">
        <f t="shared" si="8"/>
        <v>0.5291282051282052</v>
      </c>
      <c r="E27" s="34">
        <f t="shared" si="8"/>
        <v>0.7215384615384617</v>
      </c>
      <c r="F27" s="34">
        <f t="shared" si="8"/>
        <v>0.865846153846154</v>
      </c>
      <c r="G27" s="34">
        <v>0.9620512820512822</v>
      </c>
      <c r="H27" s="34">
        <v>0.99</v>
      </c>
      <c r="I27" s="35"/>
      <c r="J27" s="155">
        <f t="shared" si="0"/>
        <v>0.6865986698633293</v>
      </c>
      <c r="K27" s="156">
        <f t="shared" si="1"/>
        <v>0.9440731710620778</v>
      </c>
      <c r="L27" s="156">
        <f t="shared" si="2"/>
        <v>1.2873725059937424</v>
      </c>
      <c r="M27" s="156">
        <f t="shared" si="3"/>
        <v>1.544847007192491</v>
      </c>
      <c r="N27" s="157">
        <f t="shared" si="4"/>
        <v>1.716496674658323</v>
      </c>
      <c r="O27" s="157">
        <f t="shared" si="5"/>
        <v>1.7663629160063392</v>
      </c>
      <c r="P27" s="172"/>
      <c r="Q27" s="173"/>
      <c r="R27" s="174">
        <f t="shared" si="9"/>
        <v>0.2452138106654747</v>
      </c>
      <c r="S27" s="163">
        <f t="shared" si="6"/>
        <v>67.25397447185087</v>
      </c>
      <c r="T27" s="28">
        <f t="shared" si="10"/>
        <v>14.902189646064446</v>
      </c>
    </row>
    <row r="28" spans="1:20" ht="18.75" customHeight="1">
      <c r="A28" s="151">
        <f t="shared" si="7"/>
        <v>37044</v>
      </c>
      <c r="B28" s="34">
        <v>1.82</v>
      </c>
      <c r="C28" s="34">
        <f t="shared" si="8"/>
        <v>0.39028220858895707</v>
      </c>
      <c r="D28" s="34">
        <f t="shared" si="8"/>
        <v>0.536638036809816</v>
      </c>
      <c r="E28" s="34">
        <f t="shared" si="8"/>
        <v>0.7317791411042944</v>
      </c>
      <c r="F28" s="34">
        <f t="shared" si="8"/>
        <v>0.8781349693251534</v>
      </c>
      <c r="G28" s="34">
        <v>0.9757055214723926</v>
      </c>
      <c r="H28" s="34">
        <v>1.01</v>
      </c>
      <c r="I28" s="35"/>
      <c r="J28" s="155">
        <f t="shared" si="0"/>
        <v>0.7103136196319019</v>
      </c>
      <c r="K28" s="156">
        <f t="shared" si="1"/>
        <v>0.9766812269938652</v>
      </c>
      <c r="L28" s="156">
        <f t="shared" si="2"/>
        <v>1.331838036809816</v>
      </c>
      <c r="M28" s="156">
        <f t="shared" si="3"/>
        <v>1.5982056441717793</v>
      </c>
      <c r="N28" s="157">
        <f t="shared" si="4"/>
        <v>1.7757840490797547</v>
      </c>
      <c r="O28" s="157">
        <f t="shared" si="5"/>
        <v>1.8382</v>
      </c>
      <c r="P28" s="172" t="s">
        <v>17</v>
      </c>
      <c r="Q28" s="173">
        <f>SUM(N24:N28)-2*R28-2*R23</f>
        <v>7.129631276900405</v>
      </c>
      <c r="R28" s="174">
        <f t="shared" si="9"/>
        <v>0.2536834355828221</v>
      </c>
      <c r="S28" s="163">
        <f t="shared" si="6"/>
        <v>69.57691026584867</v>
      </c>
      <c r="T28" s="28">
        <f t="shared" si="10"/>
        <v>16.740389646064447</v>
      </c>
    </row>
    <row r="29" spans="1:20" ht="18.75" customHeight="1">
      <c r="A29" s="151">
        <f t="shared" si="7"/>
        <v>37051</v>
      </c>
      <c r="B29" s="34">
        <v>1.8555731642894875</v>
      </c>
      <c r="C29" s="34">
        <f t="shared" si="8"/>
        <v>0.39529411764705885</v>
      </c>
      <c r="D29" s="34">
        <f t="shared" si="8"/>
        <v>0.5435294117647059</v>
      </c>
      <c r="E29" s="34">
        <f t="shared" si="8"/>
        <v>0.7411764705882353</v>
      </c>
      <c r="F29" s="34">
        <f t="shared" si="8"/>
        <v>0.8894117647058825</v>
      </c>
      <c r="G29" s="34">
        <v>0.9882352941176471</v>
      </c>
      <c r="H29" s="34">
        <v>1.03</v>
      </c>
      <c r="I29" s="35"/>
      <c r="J29" s="155">
        <f t="shared" si="0"/>
        <v>0.7334971567073739</v>
      </c>
      <c r="K29" s="156">
        <f t="shared" si="1"/>
        <v>1.008558590472639</v>
      </c>
      <c r="L29" s="156">
        <f t="shared" si="2"/>
        <v>1.375307168826326</v>
      </c>
      <c r="M29" s="156">
        <f t="shared" si="3"/>
        <v>1.6503686025915913</v>
      </c>
      <c r="N29" s="157">
        <f t="shared" si="4"/>
        <v>1.8337428917684349</v>
      </c>
      <c r="O29" s="157">
        <f t="shared" si="5"/>
        <v>1.9112403592181721</v>
      </c>
      <c r="P29" s="172"/>
      <c r="Q29" s="173"/>
      <c r="R29" s="174">
        <f t="shared" si="9"/>
        <v>0.26196327025263355</v>
      </c>
      <c r="S29" s="163">
        <f t="shared" si="6"/>
        <v>71.84779292128897</v>
      </c>
      <c r="T29" s="28">
        <f t="shared" si="10"/>
        <v>18.65163000528262</v>
      </c>
    </row>
    <row r="30" spans="1:20" ht="18.75" customHeight="1">
      <c r="A30" s="151">
        <f t="shared" si="7"/>
        <v>37058</v>
      </c>
      <c r="B30" s="34">
        <v>1.8963549920760698</v>
      </c>
      <c r="C30" s="34">
        <f t="shared" si="8"/>
        <v>0.40727272727272734</v>
      </c>
      <c r="D30" s="34">
        <f t="shared" si="8"/>
        <v>0.5600000000000002</v>
      </c>
      <c r="E30" s="34">
        <f t="shared" si="8"/>
        <v>0.7636363636363637</v>
      </c>
      <c r="F30" s="34">
        <f t="shared" si="8"/>
        <v>0.9163636363636365</v>
      </c>
      <c r="G30" s="34">
        <v>1.0181818181818183</v>
      </c>
      <c r="H30" s="34">
        <v>1.05</v>
      </c>
      <c r="I30" s="35"/>
      <c r="J30" s="155">
        <f t="shared" si="0"/>
        <v>0.7723336695000722</v>
      </c>
      <c r="K30" s="156">
        <f t="shared" si="1"/>
        <v>1.0619587955625993</v>
      </c>
      <c r="L30" s="156">
        <f t="shared" si="2"/>
        <v>1.4481256303126353</v>
      </c>
      <c r="M30" s="156">
        <f t="shared" si="3"/>
        <v>1.7377507563751624</v>
      </c>
      <c r="N30" s="157">
        <f t="shared" si="4"/>
        <v>1.9308341737501804</v>
      </c>
      <c r="O30" s="157">
        <f t="shared" si="5"/>
        <v>1.9911727416798735</v>
      </c>
      <c r="R30" s="174">
        <f t="shared" si="9"/>
        <v>0.2758334533928829</v>
      </c>
      <c r="S30" s="163">
        <f t="shared" si="6"/>
        <v>75.65192181722136</v>
      </c>
      <c r="T30" s="28">
        <f t="shared" si="10"/>
        <v>20.64280274696249</v>
      </c>
    </row>
    <row r="31" spans="1:20" ht="18.75" customHeight="1">
      <c r="A31" s="151">
        <f t="shared" si="7"/>
        <v>37065</v>
      </c>
      <c r="B31" s="34">
        <v>1.9269413629160062</v>
      </c>
      <c r="C31" s="34">
        <f t="shared" si="8"/>
        <v>0.42046927374301674</v>
      </c>
      <c r="D31" s="34">
        <f t="shared" si="8"/>
        <v>0.5781452513966481</v>
      </c>
      <c r="E31" s="34">
        <f t="shared" si="8"/>
        <v>0.7883798882681563</v>
      </c>
      <c r="F31" s="34">
        <f t="shared" si="8"/>
        <v>0.9460558659217877</v>
      </c>
      <c r="G31" s="34">
        <v>1.0511731843575418</v>
      </c>
      <c r="H31" s="34">
        <v>1.08</v>
      </c>
      <c r="I31" s="35"/>
      <c r="J31" s="155">
        <f t="shared" si="0"/>
        <v>0.810219635410672</v>
      </c>
      <c r="K31" s="156">
        <f t="shared" si="1"/>
        <v>1.114051998689674</v>
      </c>
      <c r="L31" s="156">
        <f t="shared" si="2"/>
        <v>1.5191618163950098</v>
      </c>
      <c r="M31" s="156">
        <f t="shared" si="3"/>
        <v>1.822994179674012</v>
      </c>
      <c r="N31" s="157">
        <f t="shared" si="4"/>
        <v>2.02554908852668</v>
      </c>
      <c r="O31" s="157">
        <f t="shared" si="5"/>
        <v>2.081096671949287</v>
      </c>
      <c r="R31" s="174">
        <f t="shared" si="9"/>
        <v>0.28936415550381145</v>
      </c>
      <c r="S31" s="163">
        <f t="shared" si="6"/>
        <v>79.36294238284533</v>
      </c>
      <c r="T31" s="28">
        <f t="shared" si="10"/>
        <v>22.723899418911778</v>
      </c>
    </row>
    <row r="32" spans="1:20" ht="18.75" customHeight="1">
      <c r="A32" s="151">
        <f t="shared" si="7"/>
        <v>37072</v>
      </c>
      <c r="B32" s="34">
        <v>1.9269413629160062</v>
      </c>
      <c r="C32" s="34">
        <f t="shared" si="8"/>
        <v>0.4257237569060774</v>
      </c>
      <c r="D32" s="34">
        <f t="shared" si="8"/>
        <v>0.5853701657458564</v>
      </c>
      <c r="E32" s="34">
        <f t="shared" si="8"/>
        <v>0.798232044198895</v>
      </c>
      <c r="F32" s="34">
        <f t="shared" si="8"/>
        <v>0.957878453038674</v>
      </c>
      <c r="G32" s="34">
        <v>1.0643093922651934</v>
      </c>
      <c r="H32" s="34">
        <v>1.09</v>
      </c>
      <c r="I32" s="35"/>
      <c r="J32" s="155">
        <f t="shared" si="0"/>
        <v>0.8203447163583193</v>
      </c>
      <c r="K32" s="156">
        <f t="shared" si="1"/>
        <v>1.127973984992689</v>
      </c>
      <c r="L32" s="156">
        <f t="shared" si="2"/>
        <v>1.5381463431718485</v>
      </c>
      <c r="M32" s="156">
        <f t="shared" si="3"/>
        <v>1.845775611806218</v>
      </c>
      <c r="N32" s="157">
        <f t="shared" si="4"/>
        <v>2.050861790895798</v>
      </c>
      <c r="O32" s="157">
        <f t="shared" si="5"/>
        <v>2.1003660855784467</v>
      </c>
      <c r="P32" s="172" t="s">
        <v>104</v>
      </c>
      <c r="Q32" s="173">
        <f>SUM(N29:N32)+2*R28</f>
        <v>8.348354816106738</v>
      </c>
      <c r="R32" s="174">
        <f t="shared" si="9"/>
        <v>0.29298025584225684</v>
      </c>
      <c r="S32" s="163">
        <f t="shared" si="6"/>
        <v>80.35471816900296</v>
      </c>
      <c r="T32" s="28">
        <f t="shared" si="10"/>
        <v>24.824265504490224</v>
      </c>
    </row>
    <row r="33" spans="1:20" ht="18.75" customHeight="1">
      <c r="A33" s="151">
        <f t="shared" si="7"/>
        <v>37079</v>
      </c>
      <c r="B33" s="34">
        <v>1.9269413629160062</v>
      </c>
      <c r="C33" s="34">
        <f t="shared" si="8"/>
        <v>0.4306740331491713</v>
      </c>
      <c r="D33" s="34">
        <f t="shared" si="8"/>
        <v>0.5921767955801106</v>
      </c>
      <c r="E33" s="34">
        <f t="shared" si="8"/>
        <v>0.8075138121546961</v>
      </c>
      <c r="F33" s="34">
        <f t="shared" si="8"/>
        <v>0.9690165745856354</v>
      </c>
      <c r="G33" s="34">
        <v>1.0766850828729282</v>
      </c>
      <c r="H33" s="34">
        <v>1.1</v>
      </c>
      <c r="I33" s="35"/>
      <c r="J33" s="155">
        <f t="shared" si="0"/>
        <v>0.8298836084089973</v>
      </c>
      <c r="K33" s="156">
        <f t="shared" si="1"/>
        <v>1.1410899615623715</v>
      </c>
      <c r="L33" s="156">
        <f t="shared" si="2"/>
        <v>1.5560317657668699</v>
      </c>
      <c r="M33" s="156">
        <f t="shared" si="3"/>
        <v>1.867238118920244</v>
      </c>
      <c r="N33" s="157">
        <f t="shared" si="4"/>
        <v>2.0747090210224934</v>
      </c>
      <c r="O33" s="157">
        <f t="shared" si="5"/>
        <v>2.119635499207607</v>
      </c>
      <c r="P33" s="172"/>
      <c r="Q33" s="173"/>
      <c r="R33" s="174">
        <f t="shared" si="9"/>
        <v>0.29638700300321336</v>
      </c>
      <c r="S33" s="163">
        <f t="shared" si="6"/>
        <v>81.28907535701465</v>
      </c>
      <c r="T33" s="28">
        <f t="shared" si="10"/>
        <v>26.94390100369783</v>
      </c>
    </row>
    <row r="34" spans="1:20" ht="18.75" customHeight="1">
      <c r="A34" s="151">
        <f t="shared" si="7"/>
        <v>37086</v>
      </c>
      <c r="B34" s="34">
        <v>1.9269413629160062</v>
      </c>
      <c r="C34" s="34">
        <f t="shared" si="8"/>
        <v>0.43048044692737436</v>
      </c>
      <c r="D34" s="34">
        <f t="shared" si="8"/>
        <v>0.5919106145251397</v>
      </c>
      <c r="E34" s="34">
        <f t="shared" si="8"/>
        <v>0.8071508379888268</v>
      </c>
      <c r="F34" s="34">
        <f t="shared" si="8"/>
        <v>0.9685810055865922</v>
      </c>
      <c r="G34" s="34">
        <v>1.0762011173184358</v>
      </c>
      <c r="H34" s="34">
        <v>1.11</v>
      </c>
      <c r="I34" s="35"/>
      <c r="J34" s="155">
        <f t="shared" si="0"/>
        <v>0.8295105791109262</v>
      </c>
      <c r="K34" s="156">
        <f t="shared" si="1"/>
        <v>1.1405770462775235</v>
      </c>
      <c r="L34" s="156">
        <f t="shared" si="2"/>
        <v>1.5553323358329865</v>
      </c>
      <c r="M34" s="156">
        <f t="shared" si="3"/>
        <v>1.8663988029995837</v>
      </c>
      <c r="N34" s="157">
        <f t="shared" si="4"/>
        <v>2.0737764477773153</v>
      </c>
      <c r="O34" s="157">
        <f t="shared" si="5"/>
        <v>2.138904912836767</v>
      </c>
      <c r="P34" s="172"/>
      <c r="Q34" s="173"/>
      <c r="R34" s="174">
        <f t="shared" si="9"/>
        <v>0.2962537782539022</v>
      </c>
      <c r="S34" s="163">
        <f t="shared" si="6"/>
        <v>81.25253624910358</v>
      </c>
      <c r="T34" s="28">
        <f t="shared" si="10"/>
        <v>29.0828059165346</v>
      </c>
    </row>
    <row r="35" spans="1:20" ht="18.75" customHeight="1">
      <c r="A35" s="151">
        <f t="shared" si="7"/>
        <v>37093</v>
      </c>
      <c r="B35" s="34">
        <v>1.9</v>
      </c>
      <c r="C35" s="34">
        <f t="shared" si="8"/>
        <v>0.4301818181818182</v>
      </c>
      <c r="D35" s="34">
        <f t="shared" si="8"/>
        <v>0.5915</v>
      </c>
      <c r="E35" s="34">
        <f t="shared" si="8"/>
        <v>0.8065909090909091</v>
      </c>
      <c r="F35" s="34">
        <f t="shared" si="8"/>
        <v>0.9679090909090909</v>
      </c>
      <c r="G35" s="34">
        <v>1.0754545454545454</v>
      </c>
      <c r="H35" s="34">
        <v>1.11</v>
      </c>
      <c r="I35" s="35"/>
      <c r="J35" s="155">
        <f t="shared" si="0"/>
        <v>0.8173454545454546</v>
      </c>
      <c r="K35" s="156">
        <f t="shared" si="1"/>
        <v>1.12385</v>
      </c>
      <c r="L35" s="156">
        <f t="shared" si="2"/>
        <v>1.5325227272727273</v>
      </c>
      <c r="M35" s="156">
        <f t="shared" si="3"/>
        <v>1.8390272727272727</v>
      </c>
      <c r="N35" s="157">
        <f t="shared" si="4"/>
        <v>2.0433636363636363</v>
      </c>
      <c r="O35" s="157">
        <f t="shared" si="5"/>
        <v>2.109</v>
      </c>
      <c r="P35" s="172"/>
      <c r="Q35" s="173"/>
      <c r="R35" s="174">
        <f t="shared" si="9"/>
        <v>0.2919090909090909</v>
      </c>
      <c r="S35" s="163">
        <f t="shared" si="6"/>
        <v>80.06093333333334</v>
      </c>
      <c r="T35" s="28">
        <f t="shared" si="10"/>
        <v>31.191805916534598</v>
      </c>
    </row>
    <row r="36" spans="1:20" ht="18.75" customHeight="1">
      <c r="A36" s="151">
        <f t="shared" si="7"/>
        <v>37100</v>
      </c>
      <c r="B36" s="34">
        <v>1.8555731642894875</v>
      </c>
      <c r="C36" s="34">
        <f t="shared" si="8"/>
        <v>0.4301818181818182</v>
      </c>
      <c r="D36" s="34">
        <f t="shared" si="8"/>
        <v>0.5915</v>
      </c>
      <c r="E36" s="34">
        <f t="shared" si="8"/>
        <v>0.8065909090909091</v>
      </c>
      <c r="F36" s="34">
        <f t="shared" si="8"/>
        <v>0.9679090909090909</v>
      </c>
      <c r="G36" s="34">
        <v>1.0754545454545454</v>
      </c>
      <c r="H36" s="34">
        <v>1.11</v>
      </c>
      <c r="I36" s="35"/>
      <c r="J36" s="155">
        <f t="shared" si="0"/>
        <v>0.7982338375834415</v>
      </c>
      <c r="K36" s="156">
        <f t="shared" si="1"/>
        <v>1.097571526677232</v>
      </c>
      <c r="L36" s="156">
        <f t="shared" si="2"/>
        <v>1.4966884454689526</v>
      </c>
      <c r="M36" s="156">
        <f t="shared" si="3"/>
        <v>1.796026134562743</v>
      </c>
      <c r="N36" s="157">
        <f t="shared" si="4"/>
        <v>1.9955845939586034</v>
      </c>
      <c r="O36" s="157">
        <f t="shared" si="5"/>
        <v>2.0596862123613313</v>
      </c>
      <c r="P36" s="172" t="s">
        <v>105</v>
      </c>
      <c r="Q36" s="173">
        <f>SUM(N33:N36)+3*R37</f>
        <v>9.009789987841254</v>
      </c>
      <c r="R36" s="174">
        <f t="shared" si="9"/>
        <v>0.28508351342265764</v>
      </c>
      <c r="S36" s="163">
        <f t="shared" si="6"/>
        <v>78.18890494805426</v>
      </c>
      <c r="T36" s="28">
        <f t="shared" si="10"/>
        <v>33.25149212889593</v>
      </c>
    </row>
    <row r="37" spans="1:20" ht="18.75" customHeight="1">
      <c r="A37" s="151">
        <f t="shared" si="7"/>
        <v>37107</v>
      </c>
      <c r="B37" s="34">
        <v>1.7842049656629688</v>
      </c>
      <c r="C37" s="34">
        <f t="shared" si="8"/>
        <v>0.4301818181818182</v>
      </c>
      <c r="D37" s="34">
        <f t="shared" si="8"/>
        <v>0.5915</v>
      </c>
      <c r="E37" s="34">
        <f t="shared" si="8"/>
        <v>0.8065909090909091</v>
      </c>
      <c r="F37" s="34">
        <f t="shared" si="8"/>
        <v>0.9679090909090909</v>
      </c>
      <c r="G37" s="34">
        <v>1.0754545454545454</v>
      </c>
      <c r="H37" s="34">
        <v>1.11</v>
      </c>
      <c r="I37" s="35"/>
      <c r="J37" s="155">
        <f t="shared" si="0"/>
        <v>0.7675325361379245</v>
      </c>
      <c r="K37" s="156">
        <f t="shared" si="1"/>
        <v>1.055357237189646</v>
      </c>
      <c r="L37" s="156">
        <f t="shared" si="2"/>
        <v>1.4391235052586084</v>
      </c>
      <c r="M37" s="156">
        <f t="shared" si="3"/>
        <v>1.72694820631033</v>
      </c>
      <c r="N37" s="157">
        <f t="shared" si="4"/>
        <v>1.918831340344811</v>
      </c>
      <c r="O37" s="157">
        <f t="shared" si="5"/>
        <v>1.9804675118858956</v>
      </c>
      <c r="P37" s="172"/>
      <c r="Q37" s="173"/>
      <c r="R37" s="174">
        <f t="shared" si="9"/>
        <v>0.2741187629064016</v>
      </c>
      <c r="S37" s="163">
        <f t="shared" si="6"/>
        <v>75.18163937312907</v>
      </c>
      <c r="T37" s="28">
        <f t="shared" si="10"/>
        <v>35.23195964078183</v>
      </c>
    </row>
    <row r="38" spans="1:20" ht="18.75" customHeight="1">
      <c r="A38" s="151">
        <f t="shared" si="7"/>
        <v>37114</v>
      </c>
      <c r="B38" s="34">
        <v>1.753618594823032</v>
      </c>
      <c r="C38" s="34">
        <f t="shared" si="8"/>
        <v>0.4309873417721519</v>
      </c>
      <c r="D38" s="34">
        <f t="shared" si="8"/>
        <v>0.5926075949367089</v>
      </c>
      <c r="E38" s="34">
        <f t="shared" si="8"/>
        <v>0.8081012658227849</v>
      </c>
      <c r="F38" s="34">
        <f t="shared" si="8"/>
        <v>0.9697215189873418</v>
      </c>
      <c r="G38" s="34">
        <v>1.0774683544303798</v>
      </c>
      <c r="H38" s="34">
        <v>1.11</v>
      </c>
      <c r="I38" s="35"/>
      <c r="J38" s="155">
        <f t="shared" si="0"/>
        <v>0.7557874166649949</v>
      </c>
      <c r="K38" s="156">
        <f t="shared" si="1"/>
        <v>1.039207697914368</v>
      </c>
      <c r="L38" s="156">
        <f t="shared" si="2"/>
        <v>1.4171014062468654</v>
      </c>
      <c r="M38" s="156">
        <f t="shared" si="3"/>
        <v>1.7005216874962386</v>
      </c>
      <c r="N38" s="157">
        <f t="shared" si="4"/>
        <v>1.8894685416624872</v>
      </c>
      <c r="O38" s="157">
        <f t="shared" si="5"/>
        <v>1.9465166402535659</v>
      </c>
      <c r="P38" s="172"/>
      <c r="Q38" s="173"/>
      <c r="R38" s="174">
        <f t="shared" si="9"/>
        <v>0.26992407738035534</v>
      </c>
      <c r="S38" s="163">
        <f t="shared" si="6"/>
        <v>74.03117695618543</v>
      </c>
      <c r="T38" s="28">
        <f t="shared" si="10"/>
        <v>37.178476281035394</v>
      </c>
    </row>
    <row r="39" spans="1:20" ht="18.75" customHeight="1">
      <c r="A39" s="151">
        <f t="shared" si="7"/>
        <v>37121</v>
      </c>
      <c r="B39" s="34">
        <v>1.6924458531431588</v>
      </c>
      <c r="C39" s="34">
        <f t="shared" si="8"/>
        <v>0.4300800000000001</v>
      </c>
      <c r="D39" s="34">
        <f t="shared" si="8"/>
        <v>0.5913600000000001</v>
      </c>
      <c r="E39" s="34">
        <f t="shared" si="8"/>
        <v>0.8064000000000001</v>
      </c>
      <c r="F39" s="34">
        <f t="shared" si="8"/>
        <v>0.9676800000000002</v>
      </c>
      <c r="G39" s="34">
        <v>1.0752000000000002</v>
      </c>
      <c r="H39" s="34">
        <v>1.11</v>
      </c>
      <c r="I39" s="35"/>
      <c r="J39" s="155">
        <f aca="true" t="shared" si="11" ref="J39:O58">$B39*C39</f>
        <v>0.7278871125198099</v>
      </c>
      <c r="K39" s="156">
        <f t="shared" si="11"/>
        <v>1.0008447797147386</v>
      </c>
      <c r="L39" s="156">
        <f t="shared" si="11"/>
        <v>1.3647883359746433</v>
      </c>
      <c r="M39" s="156">
        <f t="shared" si="11"/>
        <v>1.6377460031695723</v>
      </c>
      <c r="N39" s="157">
        <f t="shared" si="11"/>
        <v>1.8197177812995247</v>
      </c>
      <c r="O39" s="157">
        <f t="shared" si="11"/>
        <v>1.8786148969889065</v>
      </c>
      <c r="P39" s="172"/>
      <c r="Q39" s="173"/>
      <c r="R39" s="174">
        <f t="shared" si="9"/>
        <v>0.2599596830427892</v>
      </c>
      <c r="S39" s="163">
        <f t="shared" si="6"/>
        <v>71.298275735869</v>
      </c>
      <c r="T39" s="28">
        <f t="shared" si="10"/>
        <v>39.0570911780243</v>
      </c>
    </row>
    <row r="40" spans="1:20" ht="18.75" customHeight="1">
      <c r="A40" s="151">
        <f t="shared" si="7"/>
        <v>37128</v>
      </c>
      <c r="B40" s="34">
        <v>1.6210776545166403</v>
      </c>
      <c r="C40" s="34">
        <f t="shared" si="8"/>
        <v>0.4292027972027973</v>
      </c>
      <c r="D40" s="34">
        <f t="shared" si="8"/>
        <v>0.5901538461538464</v>
      </c>
      <c r="E40" s="34">
        <f t="shared" si="8"/>
        <v>0.8047552447552448</v>
      </c>
      <c r="F40" s="34">
        <f t="shared" si="8"/>
        <v>0.9657062937062939</v>
      </c>
      <c r="G40" s="34">
        <v>1.0730069930069932</v>
      </c>
      <c r="H40" s="34">
        <v>1.11</v>
      </c>
      <c r="I40" s="35"/>
      <c r="J40" s="155">
        <f t="shared" si="11"/>
        <v>0.6957710638014919</v>
      </c>
      <c r="K40" s="156">
        <f t="shared" si="11"/>
        <v>0.9566852127270514</v>
      </c>
      <c r="L40" s="156">
        <f t="shared" si="11"/>
        <v>1.3045707446277972</v>
      </c>
      <c r="M40" s="156">
        <f t="shared" si="11"/>
        <v>1.5654848935533567</v>
      </c>
      <c r="N40" s="157">
        <f t="shared" si="11"/>
        <v>1.7394276595037297</v>
      </c>
      <c r="O40" s="157">
        <f t="shared" si="11"/>
        <v>1.7993961965134708</v>
      </c>
      <c r="P40" s="172"/>
      <c r="Q40" s="173"/>
      <c r="R40" s="174">
        <f t="shared" si="9"/>
        <v>0.24848966564338995</v>
      </c>
      <c r="S40" s="163">
        <f t="shared" si="6"/>
        <v>68.15243229712709</v>
      </c>
      <c r="T40" s="28">
        <f t="shared" si="10"/>
        <v>40.85648737453777</v>
      </c>
    </row>
    <row r="41" spans="1:20" ht="18.75" customHeight="1">
      <c r="A41" s="151">
        <f t="shared" si="7"/>
        <v>37135</v>
      </c>
      <c r="B41" s="34">
        <v>1.5497094558901214</v>
      </c>
      <c r="C41" s="34">
        <f t="shared" si="8"/>
        <v>0.42823529411764705</v>
      </c>
      <c r="D41" s="34">
        <f t="shared" si="8"/>
        <v>0.5888235294117647</v>
      </c>
      <c r="E41" s="34">
        <f t="shared" si="8"/>
        <v>0.8029411764705883</v>
      </c>
      <c r="F41" s="34">
        <f t="shared" si="8"/>
        <v>0.9635294117647059</v>
      </c>
      <c r="G41" s="34">
        <v>1.0705882352941176</v>
      </c>
      <c r="H41" s="34">
        <v>1.1</v>
      </c>
      <c r="I41" s="35"/>
      <c r="J41" s="155">
        <f t="shared" si="11"/>
        <v>0.6636402846400049</v>
      </c>
      <c r="K41" s="156">
        <f t="shared" si="11"/>
        <v>0.9125053913800069</v>
      </c>
      <c r="L41" s="156">
        <f t="shared" si="11"/>
        <v>1.2443255337000094</v>
      </c>
      <c r="M41" s="156">
        <f t="shared" si="11"/>
        <v>1.493190640440011</v>
      </c>
      <c r="N41" s="157">
        <f t="shared" si="11"/>
        <v>1.6591007116000123</v>
      </c>
      <c r="O41" s="157">
        <f t="shared" si="11"/>
        <v>1.7046804014791337</v>
      </c>
      <c r="P41" s="172" t="s">
        <v>106</v>
      </c>
      <c r="Q41" s="173">
        <f>SUM(N37:N41)-3*R37-1*R41</f>
        <v>7.96717535831993</v>
      </c>
      <c r="R41" s="174">
        <f t="shared" si="9"/>
        <v>0.23701438737143032</v>
      </c>
      <c r="S41" s="163">
        <f t="shared" si="6"/>
        <v>65.00514597640431</v>
      </c>
      <c r="T41" s="28">
        <f t="shared" si="10"/>
        <v>42.5611677760169</v>
      </c>
    </row>
    <row r="42" spans="1:20" ht="18.75" customHeight="1">
      <c r="A42" s="151">
        <f t="shared" si="7"/>
        <v>37142</v>
      </c>
      <c r="B42" s="34">
        <v>1.4681458003169572</v>
      </c>
      <c r="C42" s="34">
        <f t="shared" si="8"/>
        <v>0.42350000000000004</v>
      </c>
      <c r="D42" s="34">
        <f t="shared" si="8"/>
        <v>0.5823125000000001</v>
      </c>
      <c r="E42" s="34">
        <f t="shared" si="8"/>
        <v>0.7940625000000001</v>
      </c>
      <c r="F42" s="34">
        <f t="shared" si="8"/>
        <v>0.9528750000000001</v>
      </c>
      <c r="G42" s="34">
        <v>1.05875</v>
      </c>
      <c r="H42" s="34">
        <v>1.09</v>
      </c>
      <c r="I42" s="35"/>
      <c r="J42" s="155">
        <f t="shared" si="11"/>
        <v>0.6217597464342314</v>
      </c>
      <c r="K42" s="156">
        <f t="shared" si="11"/>
        <v>0.8549196513470683</v>
      </c>
      <c r="L42" s="156">
        <f t="shared" si="11"/>
        <v>1.165799524564184</v>
      </c>
      <c r="M42" s="156">
        <f t="shared" si="11"/>
        <v>1.3989594294770207</v>
      </c>
      <c r="N42" s="157">
        <f t="shared" si="11"/>
        <v>1.5543993660855786</v>
      </c>
      <c r="O42" s="157">
        <f t="shared" si="11"/>
        <v>1.6002789223454834</v>
      </c>
      <c r="P42" s="172"/>
      <c r="Q42" s="173"/>
      <c r="R42" s="174">
        <f t="shared" si="9"/>
        <v>0.2220570522979398</v>
      </c>
      <c r="S42" s="163">
        <f t="shared" si="6"/>
        <v>60.90284754358163</v>
      </c>
      <c r="T42" s="28">
        <f t="shared" si="10"/>
        <v>44.16144669836238</v>
      </c>
    </row>
    <row r="43" spans="1:20" ht="18.75" customHeight="1">
      <c r="A43" s="151">
        <f t="shared" si="7"/>
        <v>37149</v>
      </c>
      <c r="B43" s="34">
        <v>1.3967776016904385</v>
      </c>
      <c r="C43" s="34">
        <f t="shared" si="8"/>
        <v>0.4141176470588237</v>
      </c>
      <c r="D43" s="34">
        <f t="shared" si="8"/>
        <v>0.5694117647058826</v>
      </c>
      <c r="E43" s="34">
        <f t="shared" si="8"/>
        <v>0.7764705882352944</v>
      </c>
      <c r="F43" s="34">
        <f t="shared" si="8"/>
        <v>0.9317647058823533</v>
      </c>
      <c r="G43" s="34">
        <v>1.0352941176470591</v>
      </c>
      <c r="H43" s="34">
        <v>1.07</v>
      </c>
      <c r="I43" s="35"/>
      <c r="J43" s="155">
        <f t="shared" si="11"/>
        <v>0.5784302538765113</v>
      </c>
      <c r="K43" s="156">
        <f t="shared" si="11"/>
        <v>0.795341599080203</v>
      </c>
      <c r="L43" s="156">
        <f t="shared" si="11"/>
        <v>1.0845567260184585</v>
      </c>
      <c r="M43" s="156">
        <f t="shared" si="11"/>
        <v>1.3014680712221502</v>
      </c>
      <c r="N43" s="157">
        <f t="shared" si="11"/>
        <v>1.446075634691278</v>
      </c>
      <c r="O43" s="157">
        <f t="shared" si="11"/>
        <v>1.4945520338087692</v>
      </c>
      <c r="P43" s="172"/>
      <c r="Q43" s="173"/>
      <c r="R43" s="174">
        <f t="shared" si="9"/>
        <v>0.20658223352732544</v>
      </c>
      <c r="S43" s="163">
        <f t="shared" si="6"/>
        <v>56.65862058209446</v>
      </c>
      <c r="T43" s="28">
        <f t="shared" si="10"/>
        <v>45.65599873217115</v>
      </c>
    </row>
    <row r="44" spans="1:20" ht="18.75" customHeight="1">
      <c r="A44" s="151">
        <f t="shared" si="7"/>
        <v>37156</v>
      </c>
      <c r="B44" s="34">
        <v>1.3050184891706287</v>
      </c>
      <c r="C44" s="34">
        <f t="shared" si="8"/>
        <v>0.4068990825688073</v>
      </c>
      <c r="D44" s="34">
        <f t="shared" si="8"/>
        <v>0.5594862385321101</v>
      </c>
      <c r="E44" s="34">
        <f t="shared" si="8"/>
        <v>0.7629357798165137</v>
      </c>
      <c r="F44" s="34">
        <f t="shared" si="8"/>
        <v>0.9155229357798165</v>
      </c>
      <c r="G44" s="34">
        <v>1.0172477064220182</v>
      </c>
      <c r="H44" s="34">
        <v>1.04</v>
      </c>
      <c r="I44" s="35"/>
      <c r="J44" s="155">
        <f t="shared" si="11"/>
        <v>0.5310108259788598</v>
      </c>
      <c r="K44" s="156">
        <f t="shared" si="11"/>
        <v>0.7301398857209324</v>
      </c>
      <c r="L44" s="156">
        <f t="shared" si="11"/>
        <v>0.9956452987103621</v>
      </c>
      <c r="M44" s="156">
        <f t="shared" si="11"/>
        <v>1.1947743584524346</v>
      </c>
      <c r="N44" s="157">
        <f t="shared" si="11"/>
        <v>1.3275270649471496</v>
      </c>
      <c r="O44" s="157">
        <f t="shared" si="11"/>
        <v>1.3572192287374538</v>
      </c>
      <c r="P44" s="172"/>
      <c r="Q44" s="173"/>
      <c r="R44" s="174">
        <f t="shared" si="9"/>
        <v>0.18964672356387852</v>
      </c>
      <c r="S44" s="163">
        <f t="shared" si="6"/>
        <v>52.01377471611975</v>
      </c>
      <c r="T44" s="28">
        <f t="shared" si="10"/>
        <v>47.013217960908605</v>
      </c>
    </row>
    <row r="45" spans="1:20" ht="18.75" customHeight="1">
      <c r="A45" s="151">
        <f t="shared" si="7"/>
        <v>37163</v>
      </c>
      <c r="B45" s="34">
        <v>1.1928684627575277</v>
      </c>
      <c r="C45" s="34">
        <f t="shared" si="8"/>
        <v>0.3891717171717173</v>
      </c>
      <c r="D45" s="34">
        <f t="shared" si="8"/>
        <v>0.5351111111111112</v>
      </c>
      <c r="E45" s="34">
        <f t="shared" si="8"/>
        <v>0.7296969696969698</v>
      </c>
      <c r="F45" s="34">
        <f t="shared" si="8"/>
        <v>0.8756363636363638</v>
      </c>
      <c r="G45" s="34">
        <v>0.9729292929292931</v>
      </c>
      <c r="H45" s="34">
        <v>1.01</v>
      </c>
      <c r="I45" s="35"/>
      <c r="J45" s="155">
        <f t="shared" si="11"/>
        <v>0.4642306680113337</v>
      </c>
      <c r="K45" s="156">
        <f t="shared" si="11"/>
        <v>0.6383171685155838</v>
      </c>
      <c r="L45" s="156">
        <f t="shared" si="11"/>
        <v>0.8704325025212507</v>
      </c>
      <c r="M45" s="156">
        <f t="shared" si="11"/>
        <v>1.0445190030255007</v>
      </c>
      <c r="N45" s="157">
        <f t="shared" si="11"/>
        <v>1.1605766700283342</v>
      </c>
      <c r="O45" s="157">
        <f t="shared" si="11"/>
        <v>1.204797147385103</v>
      </c>
      <c r="P45" s="172" t="s">
        <v>107</v>
      </c>
      <c r="Q45" s="173">
        <f>SUM(N42:N45)+1*R46+1*R41</f>
        <v>5.8743652308892225</v>
      </c>
      <c r="R45" s="174">
        <f t="shared" si="9"/>
        <v>0.16579666714690489</v>
      </c>
      <c r="S45" s="163">
        <f t="shared" si="6"/>
        <v>45.47249924282445</v>
      </c>
      <c r="T45" s="28">
        <f t="shared" si="10"/>
        <v>48.218015108293706</v>
      </c>
    </row>
    <row r="46" spans="1:20" ht="18.75" customHeight="1">
      <c r="A46" s="151">
        <f t="shared" si="7"/>
        <v>37170</v>
      </c>
      <c r="B46" s="34">
        <v>1.1011093502377178</v>
      </c>
      <c r="C46" s="34">
        <f t="shared" si="8"/>
        <v>0.37831111111111115</v>
      </c>
      <c r="D46" s="34">
        <f t="shared" si="8"/>
        <v>0.5201777777777778</v>
      </c>
      <c r="E46" s="34">
        <f t="shared" si="8"/>
        <v>0.7093333333333334</v>
      </c>
      <c r="F46" s="34">
        <f t="shared" si="8"/>
        <v>0.8512000000000001</v>
      </c>
      <c r="G46" s="34">
        <v>0.9457777777777778</v>
      </c>
      <c r="H46" s="34">
        <v>0.97</v>
      </c>
      <c r="I46" s="35"/>
      <c r="J46" s="155">
        <f t="shared" si="11"/>
        <v>0.4165619017432647</v>
      </c>
      <c r="K46" s="156">
        <f t="shared" si="11"/>
        <v>0.5727726148969889</v>
      </c>
      <c r="L46" s="156">
        <f t="shared" si="11"/>
        <v>0.7810535657686212</v>
      </c>
      <c r="M46" s="156">
        <f t="shared" si="11"/>
        <v>0.9372642789223455</v>
      </c>
      <c r="N46" s="157">
        <f t="shared" si="11"/>
        <v>1.0414047543581617</v>
      </c>
      <c r="O46" s="157">
        <f t="shared" si="11"/>
        <v>1.0680760697305862</v>
      </c>
      <c r="P46" s="172"/>
      <c r="Q46" s="173"/>
      <c r="R46" s="174">
        <f t="shared" si="9"/>
        <v>0.14877210776545166</v>
      </c>
      <c r="S46" s="163">
        <f t="shared" si="6"/>
        <v>40.80323008980455</v>
      </c>
      <c r="T46" s="28">
        <f t="shared" si="10"/>
        <v>49.28609117802429</v>
      </c>
    </row>
    <row r="47" spans="1:20" ht="18.75" customHeight="1">
      <c r="A47" s="151">
        <f t="shared" si="7"/>
        <v>37177</v>
      </c>
      <c r="B47" s="34">
        <v>0.9991547807712625</v>
      </c>
      <c r="C47" s="34">
        <f t="shared" si="8"/>
        <v>0.3528</v>
      </c>
      <c r="D47" s="34">
        <f t="shared" si="8"/>
        <v>0.48510000000000003</v>
      </c>
      <c r="E47" s="34">
        <f t="shared" si="8"/>
        <v>0.6615</v>
      </c>
      <c r="F47" s="34">
        <f t="shared" si="8"/>
        <v>0.7938000000000001</v>
      </c>
      <c r="G47" s="34">
        <v>0.882</v>
      </c>
      <c r="H47" s="34">
        <v>0.93</v>
      </c>
      <c r="I47" s="35"/>
      <c r="J47" s="155">
        <f t="shared" si="11"/>
        <v>0.3525018066561014</v>
      </c>
      <c r="K47" s="156">
        <f t="shared" si="11"/>
        <v>0.4846899841521395</v>
      </c>
      <c r="L47" s="156">
        <f t="shared" si="11"/>
        <v>0.6609408874801901</v>
      </c>
      <c r="M47" s="156">
        <f t="shared" si="11"/>
        <v>0.7931290649762283</v>
      </c>
      <c r="N47" s="157">
        <f t="shared" si="11"/>
        <v>0.8812545166402536</v>
      </c>
      <c r="O47" s="157">
        <f t="shared" si="11"/>
        <v>0.9292139461172741</v>
      </c>
      <c r="P47" s="172"/>
      <c r="Q47" s="173"/>
      <c r="R47" s="174">
        <f t="shared" si="9"/>
        <v>0.12589350237717908</v>
      </c>
      <c r="S47" s="163">
        <f t="shared" si="6"/>
        <v>34.528391251980985</v>
      </c>
      <c r="T47" s="28">
        <f t="shared" si="10"/>
        <v>50.215305124141565</v>
      </c>
    </row>
    <row r="48" spans="1:20" ht="18.75" customHeight="1">
      <c r="A48" s="151">
        <f t="shared" si="7"/>
        <v>37184</v>
      </c>
      <c r="B48" s="34">
        <v>0.8972002113048072</v>
      </c>
      <c r="C48" s="34">
        <f t="shared" si="8"/>
        <v>0.35200000000000004</v>
      </c>
      <c r="D48" s="34">
        <f t="shared" si="8"/>
        <v>0.48400000000000004</v>
      </c>
      <c r="E48" s="34">
        <f t="shared" si="8"/>
        <v>0.66</v>
      </c>
      <c r="F48" s="34">
        <f t="shared" si="8"/>
        <v>0.792</v>
      </c>
      <c r="G48" s="34">
        <v>0.88</v>
      </c>
      <c r="H48" s="34">
        <v>0.9</v>
      </c>
      <c r="I48" s="35"/>
      <c r="J48" s="155">
        <f t="shared" si="11"/>
        <v>0.31581447437929216</v>
      </c>
      <c r="K48" s="156">
        <f t="shared" si="11"/>
        <v>0.43424490227152673</v>
      </c>
      <c r="L48" s="156">
        <f t="shared" si="11"/>
        <v>0.5921521394611727</v>
      </c>
      <c r="M48" s="156">
        <f t="shared" si="11"/>
        <v>0.7105825673534073</v>
      </c>
      <c r="N48" s="157">
        <f t="shared" si="11"/>
        <v>0.7895361859482304</v>
      </c>
      <c r="O48" s="157">
        <f t="shared" si="11"/>
        <v>0.8074801901743265</v>
      </c>
      <c r="P48" s="172"/>
      <c r="Q48" s="173"/>
      <c r="R48" s="174">
        <f t="shared" si="9"/>
        <v>0.11279088370689005</v>
      </c>
      <c r="S48" s="163">
        <f t="shared" si="6"/>
        <v>30.934779704676377</v>
      </c>
      <c r="T48" s="28">
        <f t="shared" si="10"/>
        <v>51.02278531431589</v>
      </c>
    </row>
    <row r="49" spans="1:20" ht="18.75" customHeight="1">
      <c r="A49" s="151">
        <f t="shared" si="7"/>
        <v>37191</v>
      </c>
      <c r="B49" s="34">
        <v>0.7748547279450607</v>
      </c>
      <c r="C49" s="34">
        <f t="shared" si="8"/>
        <v>0.3323870967741936</v>
      </c>
      <c r="D49" s="34">
        <f t="shared" si="8"/>
        <v>0.4570322580645162</v>
      </c>
      <c r="E49" s="34">
        <f t="shared" si="8"/>
        <v>0.623225806451613</v>
      </c>
      <c r="F49" s="34">
        <f t="shared" si="8"/>
        <v>0.7478709677419356</v>
      </c>
      <c r="G49" s="34">
        <v>0.830967741935484</v>
      </c>
      <c r="H49" s="34">
        <v>0.85</v>
      </c>
      <c r="I49" s="35"/>
      <c r="J49" s="155">
        <f t="shared" si="11"/>
        <v>0.2575517134434163</v>
      </c>
      <c r="K49" s="156">
        <f t="shared" si="11"/>
        <v>0.35413360598469745</v>
      </c>
      <c r="L49" s="156">
        <f t="shared" si="11"/>
        <v>0.4829094627064056</v>
      </c>
      <c r="M49" s="156">
        <f t="shared" si="11"/>
        <v>0.5794913552476868</v>
      </c>
      <c r="N49" s="157">
        <f t="shared" si="11"/>
        <v>0.6438792836085409</v>
      </c>
      <c r="O49" s="157">
        <f t="shared" si="11"/>
        <v>0.6586265187533016</v>
      </c>
      <c r="P49" s="172" t="s">
        <v>108</v>
      </c>
      <c r="Q49" s="173">
        <f>SUM(N46:N49)-1*R45+4*R50</f>
        <v>3.49092478572476</v>
      </c>
      <c r="R49" s="174">
        <f t="shared" si="9"/>
        <v>0.09198275480122012</v>
      </c>
      <c r="S49" s="163">
        <f t="shared" si="6"/>
        <v>25.227803550147975</v>
      </c>
      <c r="T49" s="28">
        <f t="shared" si="10"/>
        <v>51.68141183306919</v>
      </c>
    </row>
    <row r="50" spans="1:20" ht="18.75" customHeight="1">
      <c r="A50" s="151">
        <f t="shared" si="7"/>
        <v>37198</v>
      </c>
      <c r="B50" s="34">
        <v>0.6729001584786054</v>
      </c>
      <c r="C50" s="34">
        <f t="shared" si="8"/>
        <v>0.3127547169811321</v>
      </c>
      <c r="D50" s="34">
        <f t="shared" si="8"/>
        <v>0.43003773584905663</v>
      </c>
      <c r="E50" s="34">
        <f t="shared" si="8"/>
        <v>0.5864150943396227</v>
      </c>
      <c r="F50" s="34">
        <f t="shared" si="8"/>
        <v>0.7036981132075472</v>
      </c>
      <c r="G50" s="34">
        <v>0.7818867924528302</v>
      </c>
      <c r="H50" s="34">
        <v>0.8</v>
      </c>
      <c r="I50" s="35"/>
      <c r="J50" s="155">
        <f t="shared" si="11"/>
        <v>0.21045269862153518</v>
      </c>
      <c r="K50" s="156">
        <f t="shared" si="11"/>
        <v>0.28937246060461086</v>
      </c>
      <c r="L50" s="156">
        <f t="shared" si="11"/>
        <v>0.39459880991537843</v>
      </c>
      <c r="M50" s="156">
        <f t="shared" si="11"/>
        <v>0.4735185718984541</v>
      </c>
      <c r="N50" s="157">
        <f t="shared" si="11"/>
        <v>0.5261317465538379</v>
      </c>
      <c r="O50" s="157">
        <f t="shared" si="11"/>
        <v>0.5383201267828843</v>
      </c>
      <c r="P50" s="172"/>
      <c r="Q50" s="173"/>
      <c r="R50" s="174">
        <f t="shared" si="9"/>
        <v>0.07516167807911969</v>
      </c>
      <c r="S50" s="163">
        <f t="shared" si="6"/>
        <v>20.614342907833226</v>
      </c>
      <c r="T50" s="28">
        <f t="shared" si="10"/>
        <v>52.219731959852076</v>
      </c>
    </row>
    <row r="51" spans="1:20" ht="18.75" customHeight="1">
      <c r="A51" s="151">
        <f t="shared" si="7"/>
        <v>37205</v>
      </c>
      <c r="B51" s="34">
        <v>0.5709455890121501</v>
      </c>
      <c r="C51" s="34">
        <f t="shared" si="8"/>
        <v>0.2850909090909092</v>
      </c>
      <c r="D51" s="34">
        <f t="shared" si="8"/>
        <v>0.3920000000000001</v>
      </c>
      <c r="E51" s="34">
        <f t="shared" si="8"/>
        <v>0.5345454545454547</v>
      </c>
      <c r="F51" s="34">
        <f t="shared" si="8"/>
        <v>0.6414545454545456</v>
      </c>
      <c r="G51" s="34">
        <v>0.7127272727272729</v>
      </c>
      <c r="H51" s="34">
        <v>0.74</v>
      </c>
      <c r="I51" s="35"/>
      <c r="J51" s="155">
        <f t="shared" si="11"/>
        <v>0.16277139701291848</v>
      </c>
      <c r="K51" s="156">
        <f t="shared" si="11"/>
        <v>0.2238106708927629</v>
      </c>
      <c r="L51" s="156">
        <f t="shared" si="11"/>
        <v>0.3051963693992221</v>
      </c>
      <c r="M51" s="156">
        <f t="shared" si="11"/>
        <v>0.36623564327906655</v>
      </c>
      <c r="N51" s="157">
        <f t="shared" si="11"/>
        <v>0.4069284925322961</v>
      </c>
      <c r="O51" s="157">
        <f t="shared" si="11"/>
        <v>0.4224997358689911</v>
      </c>
      <c r="P51" s="172"/>
      <c r="Q51" s="173"/>
      <c r="R51" s="174">
        <f t="shared" si="9"/>
        <v>0.05813264179032802</v>
      </c>
      <c r="S51" s="163">
        <f t="shared" si="6"/>
        <v>15.94384588836063</v>
      </c>
      <c r="T51" s="28">
        <f t="shared" si="10"/>
        <v>52.642231695721065</v>
      </c>
    </row>
    <row r="52" spans="1:20" ht="18.75" customHeight="1">
      <c r="A52" s="151">
        <f t="shared" si="7"/>
        <v>37212</v>
      </c>
      <c r="B52" s="34">
        <v>0.47918647649234014</v>
      </c>
      <c r="C52" s="34">
        <f t="shared" si="8"/>
        <v>0.27377777777777784</v>
      </c>
      <c r="D52" s="34">
        <f t="shared" si="8"/>
        <v>0.3764444444444445</v>
      </c>
      <c r="E52" s="34">
        <f t="shared" si="8"/>
        <v>0.5133333333333334</v>
      </c>
      <c r="F52" s="34">
        <f t="shared" si="8"/>
        <v>0.6160000000000001</v>
      </c>
      <c r="G52" s="34">
        <v>0.6844444444444445</v>
      </c>
      <c r="H52" s="34">
        <v>0.68</v>
      </c>
      <c r="I52" s="35"/>
      <c r="J52" s="155">
        <f t="shared" si="11"/>
        <v>0.13119060867523627</v>
      </c>
      <c r="K52" s="156">
        <f t="shared" si="11"/>
        <v>0.18038708692844987</v>
      </c>
      <c r="L52" s="156">
        <f t="shared" si="11"/>
        <v>0.24598239126606797</v>
      </c>
      <c r="M52" s="156">
        <f t="shared" si="11"/>
        <v>0.2951788695192816</v>
      </c>
      <c r="N52" s="157">
        <f t="shared" si="11"/>
        <v>0.3279765216880906</v>
      </c>
      <c r="O52" s="157">
        <f t="shared" si="11"/>
        <v>0.3258468040147913</v>
      </c>
      <c r="P52" s="172"/>
      <c r="Q52" s="173"/>
      <c r="R52" s="174">
        <f t="shared" si="9"/>
        <v>0.046853788812584375</v>
      </c>
      <c r="S52" s="163">
        <f t="shared" si="6"/>
        <v>12.850432478331474</v>
      </c>
      <c r="T52" s="28">
        <f t="shared" si="10"/>
        <v>52.96807849973586</v>
      </c>
    </row>
    <row r="53" spans="1:20" ht="18.75" customHeight="1">
      <c r="A53" s="151">
        <f t="shared" si="7"/>
        <v>37219</v>
      </c>
      <c r="B53" s="34">
        <v>0.41801373481246695</v>
      </c>
      <c r="C53" s="34">
        <f t="shared" si="8"/>
        <v>0.23893333333333336</v>
      </c>
      <c r="D53" s="34">
        <f t="shared" si="8"/>
        <v>0.3285333333333334</v>
      </c>
      <c r="E53" s="34">
        <f t="shared" si="8"/>
        <v>0.44800000000000006</v>
      </c>
      <c r="F53" s="34">
        <f t="shared" si="8"/>
        <v>0.5376000000000001</v>
      </c>
      <c r="G53" s="34">
        <v>0.5973333333333334</v>
      </c>
      <c r="H53" s="34">
        <v>0.6</v>
      </c>
      <c r="I53" s="35"/>
      <c r="J53" s="155">
        <f t="shared" si="11"/>
        <v>0.09987741503785878</v>
      </c>
      <c r="K53" s="156">
        <f t="shared" si="11"/>
        <v>0.13733144567705582</v>
      </c>
      <c r="L53" s="156">
        <f t="shared" si="11"/>
        <v>0.18727015319598522</v>
      </c>
      <c r="M53" s="156">
        <f t="shared" si="11"/>
        <v>0.22472418383518228</v>
      </c>
      <c r="N53" s="157">
        <f t="shared" si="11"/>
        <v>0.24969353759464694</v>
      </c>
      <c r="O53" s="157">
        <f t="shared" si="11"/>
        <v>0.25080824088748016</v>
      </c>
      <c r="P53" s="172"/>
      <c r="Q53" s="173"/>
      <c r="R53" s="174">
        <f t="shared" si="9"/>
        <v>0.035670505370663845</v>
      </c>
      <c r="S53" s="163">
        <f t="shared" si="6"/>
        <v>9.783230606327406</v>
      </c>
      <c r="T53" s="28">
        <f t="shared" si="10"/>
        <v>53.21888674062334</v>
      </c>
    </row>
    <row r="54" spans="1:20" ht="18.75" customHeight="1">
      <c r="A54" s="151">
        <f t="shared" si="7"/>
        <v>37226</v>
      </c>
      <c r="B54" s="34">
        <v>0.3568409931325937</v>
      </c>
      <c r="C54" s="34">
        <f t="shared" si="8"/>
        <v>0.2</v>
      </c>
      <c r="D54" s="34">
        <f t="shared" si="8"/>
        <v>0.275</v>
      </c>
      <c r="E54" s="34">
        <f t="shared" si="8"/>
        <v>0.375</v>
      </c>
      <c r="F54" s="34">
        <f t="shared" si="8"/>
        <v>0.45</v>
      </c>
      <c r="G54" s="34">
        <v>0.5</v>
      </c>
      <c r="H54" s="34">
        <v>0.52</v>
      </c>
      <c r="I54" s="35"/>
      <c r="J54" s="155">
        <f t="shared" si="11"/>
        <v>0.07136819862651875</v>
      </c>
      <c r="K54" s="156">
        <f t="shared" si="11"/>
        <v>0.09813127311146327</v>
      </c>
      <c r="L54" s="156">
        <f t="shared" si="11"/>
        <v>0.13381537242472263</v>
      </c>
      <c r="M54" s="156">
        <f t="shared" si="11"/>
        <v>0.16057844690966716</v>
      </c>
      <c r="N54" s="157">
        <f t="shared" si="11"/>
        <v>0.17842049656629685</v>
      </c>
      <c r="O54" s="157">
        <f t="shared" si="11"/>
        <v>0.18555731642894874</v>
      </c>
      <c r="P54" s="172" t="s">
        <v>109</v>
      </c>
      <c r="Q54" s="173">
        <f>SUM(N50:N54)-4*R49</f>
        <v>1.3212197757302877</v>
      </c>
      <c r="R54" s="174">
        <f t="shared" si="9"/>
        <v>0.025488642366613835</v>
      </c>
      <c r="S54" s="163">
        <f t="shared" si="6"/>
        <v>6.990684979749955</v>
      </c>
      <c r="T54" s="28">
        <f t="shared" si="10"/>
        <v>53.40444405705229</v>
      </c>
    </row>
    <row r="55" spans="1:20" ht="18.75" customHeight="1">
      <c r="A55" s="151">
        <f t="shared" si="7"/>
        <v>37233</v>
      </c>
      <c r="B55" s="34">
        <v>0.30586370839936605</v>
      </c>
      <c r="C55" s="34">
        <f t="shared" si="8"/>
        <v>0.16000000000000003</v>
      </c>
      <c r="D55" s="34">
        <f t="shared" si="8"/>
        <v>0.22000000000000003</v>
      </c>
      <c r="E55" s="34">
        <f t="shared" si="8"/>
        <v>0.30000000000000004</v>
      </c>
      <c r="F55" s="34">
        <f t="shared" si="8"/>
        <v>0.36000000000000004</v>
      </c>
      <c r="G55" s="34">
        <v>0.4</v>
      </c>
      <c r="H55" s="34">
        <v>0.45</v>
      </c>
      <c r="I55" s="35"/>
      <c r="J55" s="155">
        <f t="shared" si="11"/>
        <v>0.04893819334389858</v>
      </c>
      <c r="K55" s="156">
        <f t="shared" si="11"/>
        <v>0.06729001584786054</v>
      </c>
      <c r="L55" s="156">
        <f t="shared" si="11"/>
        <v>0.09175911251980982</v>
      </c>
      <c r="M55" s="156">
        <f t="shared" si="11"/>
        <v>0.1101109350237718</v>
      </c>
      <c r="N55" s="157">
        <f t="shared" si="11"/>
        <v>0.12234548335974643</v>
      </c>
      <c r="O55" s="157">
        <f t="shared" si="11"/>
        <v>0.13763866877971473</v>
      </c>
      <c r="P55" s="172"/>
      <c r="Q55" s="173"/>
      <c r="R55" s="174">
        <f t="shared" si="9"/>
        <v>0.01747792619424949</v>
      </c>
      <c r="S55" s="163">
        <f t="shared" si="6"/>
        <v>4.7936125575428274</v>
      </c>
      <c r="T55" s="28">
        <f t="shared" si="10"/>
        <v>53.542082725832</v>
      </c>
    </row>
    <row r="56" spans="1:20" ht="18.75" customHeight="1">
      <c r="A56" s="151">
        <f t="shared" si="7"/>
        <v>37240</v>
      </c>
      <c r="B56" s="34">
        <v>0.28547279450607504</v>
      </c>
      <c r="C56" s="34">
        <f t="shared" si="8"/>
        <v>0.16000000000000003</v>
      </c>
      <c r="D56" s="34">
        <f t="shared" si="8"/>
        <v>0.22000000000000003</v>
      </c>
      <c r="E56" s="34">
        <f t="shared" si="8"/>
        <v>0.30000000000000004</v>
      </c>
      <c r="F56" s="34">
        <f t="shared" si="8"/>
        <v>0.36000000000000004</v>
      </c>
      <c r="G56" s="34">
        <v>0.4</v>
      </c>
      <c r="H56" s="34">
        <v>0.41</v>
      </c>
      <c r="I56" s="35"/>
      <c r="J56" s="155">
        <f t="shared" si="11"/>
        <v>0.04567564712097202</v>
      </c>
      <c r="K56" s="156">
        <f t="shared" si="11"/>
        <v>0.06280401479133652</v>
      </c>
      <c r="L56" s="156">
        <f t="shared" si="11"/>
        <v>0.08564183835182253</v>
      </c>
      <c r="M56" s="156">
        <f t="shared" si="11"/>
        <v>0.10277020602218703</v>
      </c>
      <c r="N56" s="157">
        <f t="shared" si="11"/>
        <v>0.11418911780243002</v>
      </c>
      <c r="O56" s="157">
        <f t="shared" si="11"/>
        <v>0.11704384574749076</v>
      </c>
      <c r="P56" s="172"/>
      <c r="Q56" s="173"/>
      <c r="R56" s="174">
        <f t="shared" si="9"/>
        <v>0.01631273111463286</v>
      </c>
      <c r="S56" s="163">
        <f t="shared" si="6"/>
        <v>4.474038387039973</v>
      </c>
      <c r="T56" s="28">
        <f t="shared" si="10"/>
        <v>53.65912657157949</v>
      </c>
    </row>
    <row r="57" spans="1:20" ht="18.75" customHeight="1">
      <c r="A57" s="151">
        <f t="shared" si="7"/>
        <v>37247</v>
      </c>
      <c r="B57" s="34">
        <v>0.2548864236661384</v>
      </c>
      <c r="C57" s="34">
        <f t="shared" si="8"/>
        <v>0.16000000000000003</v>
      </c>
      <c r="D57" s="34">
        <f t="shared" si="8"/>
        <v>0.22000000000000003</v>
      </c>
      <c r="E57" s="34">
        <f t="shared" si="8"/>
        <v>0.30000000000000004</v>
      </c>
      <c r="F57" s="34">
        <f t="shared" si="8"/>
        <v>0.36000000000000004</v>
      </c>
      <c r="G57" s="34">
        <v>0.4</v>
      </c>
      <c r="H57" s="34">
        <v>0.4</v>
      </c>
      <c r="I57" s="35"/>
      <c r="J57" s="155">
        <f t="shared" si="11"/>
        <v>0.04078182778658215</v>
      </c>
      <c r="K57" s="156">
        <f t="shared" si="11"/>
        <v>0.05607501320655046</v>
      </c>
      <c r="L57" s="156">
        <f t="shared" si="11"/>
        <v>0.07646592709984153</v>
      </c>
      <c r="M57" s="156">
        <f t="shared" si="11"/>
        <v>0.09175911251980984</v>
      </c>
      <c r="N57" s="157">
        <f t="shared" si="11"/>
        <v>0.10195456946645537</v>
      </c>
      <c r="O57" s="157">
        <f t="shared" si="11"/>
        <v>0.10195456946645537</v>
      </c>
      <c r="P57" s="172"/>
      <c r="Q57" s="173"/>
      <c r="R57" s="174">
        <f t="shared" si="9"/>
        <v>0.01456493849520791</v>
      </c>
      <c r="S57" s="163">
        <f t="shared" si="6"/>
        <v>3.99467713128569</v>
      </c>
      <c r="T57" s="28">
        <f t="shared" si="10"/>
        <v>53.76108114104595</v>
      </c>
    </row>
    <row r="58" spans="1:20" ht="18.75" customHeight="1" thickBot="1">
      <c r="A58" s="151">
        <f t="shared" si="7"/>
        <v>37254</v>
      </c>
      <c r="B58" s="34">
        <v>0.21410459587955624</v>
      </c>
      <c r="C58" s="34">
        <f t="shared" si="8"/>
        <v>0.16000000000000003</v>
      </c>
      <c r="D58" s="34">
        <f t="shared" si="8"/>
        <v>0.22000000000000003</v>
      </c>
      <c r="E58" s="34">
        <f t="shared" si="8"/>
        <v>0.30000000000000004</v>
      </c>
      <c r="F58" s="34">
        <f t="shared" si="8"/>
        <v>0.36000000000000004</v>
      </c>
      <c r="G58" s="34">
        <v>0.4</v>
      </c>
      <c r="H58" s="34">
        <v>0.4</v>
      </c>
      <c r="I58" s="35"/>
      <c r="J58" s="158">
        <f t="shared" si="11"/>
        <v>0.034256735340729004</v>
      </c>
      <c r="K58" s="159">
        <f t="shared" si="11"/>
        <v>0.04710301109350238</v>
      </c>
      <c r="L58" s="159">
        <f t="shared" si="11"/>
        <v>0.06423137876386688</v>
      </c>
      <c r="M58" s="159">
        <f t="shared" si="11"/>
        <v>0.07707765451664025</v>
      </c>
      <c r="N58" s="150">
        <f t="shared" si="11"/>
        <v>0.0856418383518225</v>
      </c>
      <c r="O58" s="150">
        <f t="shared" si="11"/>
        <v>0.0856418383518225</v>
      </c>
      <c r="P58" s="162" t="s">
        <v>110</v>
      </c>
      <c r="Q58" s="182">
        <v>0.47</v>
      </c>
      <c r="R58" s="175">
        <f t="shared" si="9"/>
        <v>0.012234548335974644</v>
      </c>
      <c r="S58" s="181">
        <f t="shared" si="6"/>
        <v>3.355528790279979</v>
      </c>
      <c r="T58" s="28">
        <f t="shared" si="10"/>
        <v>53.846722979397775</v>
      </c>
    </row>
    <row r="59" spans="1:18" ht="18.75" customHeight="1" thickBot="1">
      <c r="A59" s="160" t="s">
        <v>2</v>
      </c>
      <c r="B59" s="161">
        <f>SUM(B7:B58)</f>
        <v>57.91904912836766</v>
      </c>
      <c r="C59" s="33"/>
      <c r="D59" s="33"/>
      <c r="E59" s="33"/>
      <c r="F59" s="33"/>
      <c r="G59" s="34"/>
      <c r="H59" s="34"/>
      <c r="I59" s="35"/>
      <c r="J59" s="162">
        <f aca="true" t="shared" si="12" ref="J59:O59">SUM(J7:J58)</f>
        <v>20.926958639443605</v>
      </c>
      <c r="K59" s="43">
        <f t="shared" si="12"/>
        <v>28.774568129234957</v>
      </c>
      <c r="L59" s="43">
        <f t="shared" si="12"/>
        <v>39.23804744895674</v>
      </c>
      <c r="M59" s="43">
        <f t="shared" si="12"/>
        <v>47.08565693874813</v>
      </c>
      <c r="N59" s="150">
        <f t="shared" si="12"/>
        <v>52.31739659860901</v>
      </c>
      <c r="O59" s="150">
        <f t="shared" si="12"/>
        <v>53.846722979397775</v>
      </c>
      <c r="P59" s="162"/>
      <c r="Q59" s="150">
        <f>SUM(Q7:Q58)</f>
        <v>52.31616592821522</v>
      </c>
      <c r="R59" s="35"/>
    </row>
  </sheetData>
  <sheetProtection/>
  <mergeCells count="2">
    <mergeCell ref="J5:N5"/>
    <mergeCell ref="P6:Q6"/>
  </mergeCells>
  <printOptions gridLines="1" horizontalCentered="1" verticalCentered="1"/>
  <pageMargins left="0.25" right="0.25" top="0" bottom="0" header="0.37" footer="0.32"/>
  <pageSetup fitToHeight="1" fitToWidth="1" horizontalDpi="600" verticalDpi="600" orientation="portrait" scale="73" r:id="rId2"/>
  <rowBreaks count="1" manualBreakCount="1">
    <brk id="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="75" zoomScaleNormal="75" zoomScalePageLayoutView="0" workbookViewId="0" topLeftCell="A1">
      <selection activeCell="M16" sqref="M16"/>
    </sheetView>
  </sheetViews>
  <sheetFormatPr defaultColWidth="9.140625" defaultRowHeight="12.75"/>
  <cols>
    <col min="1" max="1" width="7.140625" style="4" customWidth="1"/>
    <col min="2" max="2" width="10.7109375" style="5" customWidth="1"/>
    <col min="3" max="3" width="0.5625" style="5" hidden="1" customWidth="1"/>
    <col min="4" max="6" width="9.00390625" style="5" hidden="1" customWidth="1"/>
    <col min="7" max="7" width="10.28125" style="7" customWidth="1"/>
    <col min="8" max="8" width="3.00390625" style="4" customWidth="1"/>
    <col min="9" max="9" width="10.7109375" style="5" customWidth="1"/>
    <col min="10" max="12" width="11.28125" style="5" customWidth="1"/>
    <col min="13" max="13" width="11.28125" style="8" customWidth="1"/>
    <col min="14" max="14" width="9.140625" style="4" customWidth="1"/>
    <col min="15" max="15" width="7.7109375" style="8" customWidth="1"/>
    <col min="16" max="16384" width="9.140625" style="4" customWidth="1"/>
  </cols>
  <sheetData>
    <row r="1" spans="1:7" ht="12.75">
      <c r="A1" s="6"/>
      <c r="B1" s="8"/>
      <c r="G1" s="9"/>
    </row>
    <row r="2" ht="12.75"/>
    <row r="3" ht="13.5" thickBot="1"/>
    <row r="4" spans="1:15" ht="21" customHeight="1" thickBot="1">
      <c r="A4" s="91" t="s">
        <v>113</v>
      </c>
      <c r="B4" s="84"/>
      <c r="C4" s="84"/>
      <c r="D4" s="84"/>
      <c r="E4" s="84"/>
      <c r="F4" s="84"/>
      <c r="G4" s="14"/>
      <c r="H4" s="85"/>
      <c r="I4" s="84"/>
      <c r="J4" s="84"/>
      <c r="K4" s="84"/>
      <c r="L4" s="84"/>
      <c r="M4" s="86"/>
      <c r="O4" s="29"/>
    </row>
    <row r="5" spans="1:15" ht="33.75" customHeight="1">
      <c r="A5" s="131"/>
      <c r="B5" s="140" t="s">
        <v>44</v>
      </c>
      <c r="C5" s="141"/>
      <c r="D5" s="141"/>
      <c r="E5" s="141"/>
      <c r="F5" s="141"/>
      <c r="G5" s="142" t="s">
        <v>47</v>
      </c>
      <c r="H5" s="132"/>
      <c r="I5" s="203" t="s">
        <v>114</v>
      </c>
      <c r="J5" s="204"/>
      <c r="K5" s="204"/>
      <c r="L5" s="204"/>
      <c r="M5" s="205"/>
      <c r="N5" s="124" t="s">
        <v>111</v>
      </c>
      <c r="O5" s="119"/>
    </row>
    <row r="6" spans="1:17" ht="26.25" thickBot="1">
      <c r="A6" s="133" t="s">
        <v>1</v>
      </c>
      <c r="B6" s="134" t="s">
        <v>45</v>
      </c>
      <c r="C6" s="135" t="s">
        <v>3</v>
      </c>
      <c r="D6" s="135" t="s">
        <v>4</v>
      </c>
      <c r="E6" s="135" t="s">
        <v>5</v>
      </c>
      <c r="F6" s="135" t="s">
        <v>6</v>
      </c>
      <c r="G6" s="136" t="s">
        <v>46</v>
      </c>
      <c r="H6" s="137"/>
      <c r="I6" s="138" t="s">
        <v>48</v>
      </c>
      <c r="J6" s="134" t="s">
        <v>10</v>
      </c>
      <c r="K6" s="134" t="s">
        <v>11</v>
      </c>
      <c r="L6" s="134" t="s">
        <v>12</v>
      </c>
      <c r="M6" s="12" t="s">
        <v>7</v>
      </c>
      <c r="N6" s="139" t="s">
        <v>112</v>
      </c>
      <c r="O6" s="120"/>
      <c r="P6" s="70" t="s">
        <v>92</v>
      </c>
      <c r="Q6" s="70" t="s">
        <v>91</v>
      </c>
    </row>
    <row r="7" spans="1:18" ht="15.75">
      <c r="A7" s="125">
        <v>36897</v>
      </c>
      <c r="B7" s="121">
        <v>0.2325</v>
      </c>
      <c r="C7" s="63">
        <f aca="true" t="shared" si="0" ref="C7:C38">G7*0.3</f>
        <v>0.12</v>
      </c>
      <c r="D7" s="63">
        <f aca="true" t="shared" si="1" ref="D7:D38">G7*0.55</f>
        <v>0.22000000000000003</v>
      </c>
      <c r="E7" s="63">
        <f aca="true" t="shared" si="2" ref="E7:E38">G7*0.75</f>
        <v>0.30000000000000004</v>
      </c>
      <c r="F7" s="63">
        <f aca="true" t="shared" si="3" ref="F7:F38">G7*0.9</f>
        <v>0.36000000000000004</v>
      </c>
      <c r="G7" s="63">
        <v>0.4</v>
      </c>
      <c r="H7" s="64"/>
      <c r="I7" s="49">
        <f aca="true" t="shared" si="4" ref="I7:I38">$B7*C7</f>
        <v>0.0279</v>
      </c>
      <c r="J7" s="46">
        <f aca="true" t="shared" si="5" ref="J7:J38">$B7*D7</f>
        <v>0.05115000000000001</v>
      </c>
      <c r="K7" s="46">
        <f aca="true" t="shared" si="6" ref="K7:K38">$B7*E7</f>
        <v>0.06975000000000002</v>
      </c>
      <c r="L7" s="46">
        <f aca="true" t="shared" si="7" ref="L7:L38">$B7*F7</f>
        <v>0.08370000000000001</v>
      </c>
      <c r="M7" s="50">
        <f aca="true" t="shared" si="8" ref="M7:M38">$B7*G7</f>
        <v>0.09300000000000001</v>
      </c>
      <c r="N7" s="126">
        <f>M7/12*20*20*7.48/7</f>
        <v>3.3125714285714296</v>
      </c>
      <c r="O7" s="120"/>
      <c r="P7" s="22"/>
      <c r="Q7" s="93">
        <f aca="true" t="shared" si="9" ref="Q7:Q38">M7/7</f>
        <v>0.013285714285714288</v>
      </c>
      <c r="R7" s="93"/>
    </row>
    <row r="8" spans="1:18" ht="15.75">
      <c r="A8" s="125">
        <f aca="true" t="shared" si="10" ref="A8:A39">A7+7</f>
        <v>36904</v>
      </c>
      <c r="B8" s="121">
        <v>0.29892857142857143</v>
      </c>
      <c r="C8" s="63">
        <f t="shared" si="0"/>
        <v>0.12</v>
      </c>
      <c r="D8" s="63">
        <f t="shared" si="1"/>
        <v>0.22000000000000003</v>
      </c>
      <c r="E8" s="63">
        <f t="shared" si="2"/>
        <v>0.30000000000000004</v>
      </c>
      <c r="F8" s="63">
        <f t="shared" si="3"/>
        <v>0.36000000000000004</v>
      </c>
      <c r="G8" s="63">
        <v>0.4</v>
      </c>
      <c r="H8" s="64"/>
      <c r="I8" s="54">
        <f t="shared" si="4"/>
        <v>0.03587142857142857</v>
      </c>
      <c r="J8" s="51">
        <f t="shared" si="5"/>
        <v>0.06576428571428572</v>
      </c>
      <c r="K8" s="51">
        <f t="shared" si="6"/>
        <v>0.08967857142857144</v>
      </c>
      <c r="L8" s="51">
        <f t="shared" si="7"/>
        <v>0.10761428571428573</v>
      </c>
      <c r="M8" s="55">
        <f t="shared" si="8"/>
        <v>0.11957142857142858</v>
      </c>
      <c r="N8" s="126">
        <f aca="true" t="shared" si="11" ref="N8:N58">M8/12*20*20*7.48/7</f>
        <v>4.259020408163266</v>
      </c>
      <c r="O8" s="120"/>
      <c r="P8" s="93"/>
      <c r="Q8" s="93">
        <f t="shared" si="9"/>
        <v>0.017081632653061226</v>
      </c>
      <c r="R8" s="93"/>
    </row>
    <row r="9" spans="1:18" ht="15.75">
      <c r="A9" s="125">
        <f t="shared" si="10"/>
        <v>36911</v>
      </c>
      <c r="B9" s="121">
        <v>0.32107142857142856</v>
      </c>
      <c r="C9" s="63">
        <f t="shared" si="0"/>
        <v>0.12</v>
      </c>
      <c r="D9" s="63">
        <f t="shared" si="1"/>
        <v>0.22000000000000003</v>
      </c>
      <c r="E9" s="63">
        <f t="shared" si="2"/>
        <v>0.30000000000000004</v>
      </c>
      <c r="F9" s="63">
        <f t="shared" si="3"/>
        <v>0.36000000000000004</v>
      </c>
      <c r="G9" s="63">
        <v>0.4</v>
      </c>
      <c r="H9" s="64"/>
      <c r="I9" s="54">
        <f t="shared" si="4"/>
        <v>0.038528571428571426</v>
      </c>
      <c r="J9" s="51">
        <f t="shared" si="5"/>
        <v>0.07063571428571429</v>
      </c>
      <c r="K9" s="51">
        <f t="shared" si="6"/>
        <v>0.09632142857142859</v>
      </c>
      <c r="L9" s="51">
        <f t="shared" si="7"/>
        <v>0.11558571428571429</v>
      </c>
      <c r="M9" s="55">
        <f t="shared" si="8"/>
        <v>0.12842857142857142</v>
      </c>
      <c r="N9" s="126">
        <f t="shared" si="11"/>
        <v>4.574503401360544</v>
      </c>
      <c r="O9" s="120"/>
      <c r="P9" s="93"/>
      <c r="Q9" s="93">
        <f t="shared" si="9"/>
        <v>0.0183469387755102</v>
      </c>
      <c r="R9" s="93"/>
    </row>
    <row r="10" spans="1:18" ht="15.75">
      <c r="A10" s="125">
        <f t="shared" si="10"/>
        <v>36918</v>
      </c>
      <c r="B10" s="121">
        <v>0.3875</v>
      </c>
      <c r="C10" s="63">
        <f t="shared" si="0"/>
        <v>0.12</v>
      </c>
      <c r="D10" s="63">
        <f t="shared" si="1"/>
        <v>0.22000000000000003</v>
      </c>
      <c r="E10" s="63">
        <f t="shared" si="2"/>
        <v>0.30000000000000004</v>
      </c>
      <c r="F10" s="63">
        <f t="shared" si="3"/>
        <v>0.36000000000000004</v>
      </c>
      <c r="G10" s="63">
        <v>0.4</v>
      </c>
      <c r="H10" s="64"/>
      <c r="I10" s="54">
        <f t="shared" si="4"/>
        <v>0.0465</v>
      </c>
      <c r="J10" s="51">
        <f t="shared" si="5"/>
        <v>0.08525000000000002</v>
      </c>
      <c r="K10" s="51">
        <f t="shared" si="6"/>
        <v>0.11625000000000002</v>
      </c>
      <c r="L10" s="51">
        <f t="shared" si="7"/>
        <v>0.1395</v>
      </c>
      <c r="M10" s="55">
        <f t="shared" si="8"/>
        <v>0.15500000000000003</v>
      </c>
      <c r="N10" s="126">
        <f t="shared" si="11"/>
        <v>5.520952380952381</v>
      </c>
      <c r="O10" s="120" t="s">
        <v>100</v>
      </c>
      <c r="P10" s="93">
        <f>SUM(M7:M10)</f>
        <v>0.496</v>
      </c>
      <c r="Q10" s="93">
        <f t="shared" si="9"/>
        <v>0.022142857142857148</v>
      </c>
      <c r="R10" s="93"/>
    </row>
    <row r="11" spans="1:18" ht="15.75">
      <c r="A11" s="125">
        <f t="shared" si="10"/>
        <v>36925</v>
      </c>
      <c r="B11" s="121">
        <v>0.3232873563218391</v>
      </c>
      <c r="C11" s="63">
        <f t="shared" si="0"/>
        <v>0.12</v>
      </c>
      <c r="D11" s="63">
        <f t="shared" si="1"/>
        <v>0.22000000000000003</v>
      </c>
      <c r="E11" s="63">
        <f t="shared" si="2"/>
        <v>0.30000000000000004</v>
      </c>
      <c r="F11" s="63">
        <f t="shared" si="3"/>
        <v>0.36000000000000004</v>
      </c>
      <c r="G11" s="63">
        <v>0.4</v>
      </c>
      <c r="H11" s="64"/>
      <c r="I11" s="54">
        <f t="shared" si="4"/>
        <v>0.038794482758620685</v>
      </c>
      <c r="J11" s="51">
        <f t="shared" si="5"/>
        <v>0.07112321839080461</v>
      </c>
      <c r="K11" s="51">
        <f t="shared" si="6"/>
        <v>0.09698620689655174</v>
      </c>
      <c r="L11" s="51">
        <f t="shared" si="7"/>
        <v>0.11638344827586208</v>
      </c>
      <c r="M11" s="55">
        <f t="shared" si="8"/>
        <v>0.12931494252873563</v>
      </c>
      <c r="N11" s="126">
        <f t="shared" si="11"/>
        <v>4.606075095785441</v>
      </c>
      <c r="O11" s="120"/>
      <c r="P11" s="93"/>
      <c r="Q11" s="93">
        <f t="shared" si="9"/>
        <v>0.018473563218390804</v>
      </c>
      <c r="R11" s="93"/>
    </row>
    <row r="12" spans="1:18" ht="15.75">
      <c r="A12" s="125">
        <f t="shared" si="10"/>
        <v>36932</v>
      </c>
      <c r="B12" s="121">
        <v>0.3627126436781609</v>
      </c>
      <c r="C12" s="63">
        <f t="shared" si="0"/>
        <v>0.12</v>
      </c>
      <c r="D12" s="63">
        <f t="shared" si="1"/>
        <v>0.22000000000000003</v>
      </c>
      <c r="E12" s="63">
        <f t="shared" si="2"/>
        <v>0.30000000000000004</v>
      </c>
      <c r="F12" s="63">
        <f t="shared" si="3"/>
        <v>0.36000000000000004</v>
      </c>
      <c r="G12" s="63">
        <v>0.4</v>
      </c>
      <c r="H12" s="64"/>
      <c r="I12" s="54">
        <f t="shared" si="4"/>
        <v>0.043525517241379305</v>
      </c>
      <c r="J12" s="51">
        <f t="shared" si="5"/>
        <v>0.07979678160919541</v>
      </c>
      <c r="K12" s="51">
        <f t="shared" si="6"/>
        <v>0.1088137931034483</v>
      </c>
      <c r="L12" s="51">
        <f t="shared" si="7"/>
        <v>0.13057655172413796</v>
      </c>
      <c r="M12" s="55">
        <f t="shared" si="8"/>
        <v>0.14508505747126438</v>
      </c>
      <c r="N12" s="126">
        <f t="shared" si="11"/>
        <v>5.167791570881228</v>
      </c>
      <c r="O12" s="120"/>
      <c r="P12" s="93"/>
      <c r="Q12" s="93">
        <f t="shared" si="9"/>
        <v>0.0207264367816092</v>
      </c>
      <c r="R12" s="93"/>
    </row>
    <row r="13" spans="1:18" ht="15.75">
      <c r="A13" s="125">
        <f t="shared" si="10"/>
        <v>36939</v>
      </c>
      <c r="B13" s="121">
        <v>0.41790804597701153</v>
      </c>
      <c r="C13" s="63">
        <f t="shared" si="0"/>
        <v>0.12</v>
      </c>
      <c r="D13" s="63">
        <f t="shared" si="1"/>
        <v>0.22000000000000003</v>
      </c>
      <c r="E13" s="63">
        <f t="shared" si="2"/>
        <v>0.30000000000000004</v>
      </c>
      <c r="F13" s="63">
        <f t="shared" si="3"/>
        <v>0.36000000000000004</v>
      </c>
      <c r="G13" s="63">
        <v>0.4</v>
      </c>
      <c r="H13" s="64"/>
      <c r="I13" s="54">
        <f t="shared" si="4"/>
        <v>0.050148965517241385</v>
      </c>
      <c r="J13" s="51">
        <f t="shared" si="5"/>
        <v>0.09193977011494255</v>
      </c>
      <c r="K13" s="51">
        <f t="shared" si="6"/>
        <v>0.1253724137931035</v>
      </c>
      <c r="L13" s="51">
        <f t="shared" si="7"/>
        <v>0.15044689655172416</v>
      </c>
      <c r="M13" s="55">
        <f t="shared" si="8"/>
        <v>0.1671632183908046</v>
      </c>
      <c r="N13" s="126">
        <f t="shared" si="11"/>
        <v>5.954194636015326</v>
      </c>
      <c r="O13" s="120"/>
      <c r="P13" s="93"/>
      <c r="Q13" s="93">
        <f t="shared" si="9"/>
        <v>0.023880459770114944</v>
      </c>
      <c r="R13" s="93"/>
    </row>
    <row r="14" spans="1:18" ht="15.75">
      <c r="A14" s="125">
        <f t="shared" si="10"/>
        <v>36946</v>
      </c>
      <c r="B14" s="121">
        <v>0.47310344827586204</v>
      </c>
      <c r="C14" s="63">
        <f t="shared" si="0"/>
        <v>0.12</v>
      </c>
      <c r="D14" s="63">
        <f t="shared" si="1"/>
        <v>0.22000000000000003</v>
      </c>
      <c r="E14" s="63">
        <f t="shared" si="2"/>
        <v>0.30000000000000004</v>
      </c>
      <c r="F14" s="63">
        <f t="shared" si="3"/>
        <v>0.36000000000000004</v>
      </c>
      <c r="G14" s="63">
        <v>0.4</v>
      </c>
      <c r="H14" s="64"/>
      <c r="I14" s="54">
        <f t="shared" si="4"/>
        <v>0.056772413793103445</v>
      </c>
      <c r="J14" s="51">
        <f t="shared" si="5"/>
        <v>0.10408275862068966</v>
      </c>
      <c r="K14" s="51">
        <f t="shared" si="6"/>
        <v>0.14193103448275862</v>
      </c>
      <c r="L14" s="51">
        <f t="shared" si="7"/>
        <v>0.17031724137931034</v>
      </c>
      <c r="M14" s="55">
        <f t="shared" si="8"/>
        <v>0.18924137931034482</v>
      </c>
      <c r="N14" s="126">
        <f t="shared" si="11"/>
        <v>6.740597701149425</v>
      </c>
      <c r="O14" s="120"/>
      <c r="P14" s="93"/>
      <c r="Q14" s="93">
        <f t="shared" si="9"/>
        <v>0.02703448275862069</v>
      </c>
      <c r="R14" s="93"/>
    </row>
    <row r="15" spans="1:18" ht="15.75">
      <c r="A15" s="125">
        <f t="shared" si="10"/>
        <v>36953</v>
      </c>
      <c r="B15" s="121">
        <v>0.6000591497227357</v>
      </c>
      <c r="C15" s="63">
        <f t="shared" si="0"/>
        <v>0.126</v>
      </c>
      <c r="D15" s="63">
        <f t="shared" si="1"/>
        <v>0.231</v>
      </c>
      <c r="E15" s="63">
        <f t="shared" si="2"/>
        <v>0.315</v>
      </c>
      <c r="F15" s="63">
        <f t="shared" si="3"/>
        <v>0.378</v>
      </c>
      <c r="G15" s="63">
        <v>0.42</v>
      </c>
      <c r="H15" s="64"/>
      <c r="I15" s="54">
        <f t="shared" si="4"/>
        <v>0.07560745286506469</v>
      </c>
      <c r="J15" s="51">
        <f t="shared" si="5"/>
        <v>0.13861366358595195</v>
      </c>
      <c r="K15" s="51">
        <f t="shared" si="6"/>
        <v>0.18901863216266174</v>
      </c>
      <c r="L15" s="51">
        <f t="shared" si="7"/>
        <v>0.2268223585951941</v>
      </c>
      <c r="M15" s="55">
        <f t="shared" si="8"/>
        <v>0.252024842883549</v>
      </c>
      <c r="N15" s="126">
        <f t="shared" si="11"/>
        <v>8.976884879852127</v>
      </c>
      <c r="O15" s="120" t="s">
        <v>101</v>
      </c>
      <c r="P15" s="93">
        <f>SUM(M11:M15)-2*Q15</f>
        <v>0.81082234261797</v>
      </c>
      <c r="Q15" s="93">
        <f t="shared" si="9"/>
        <v>0.03600354898336414</v>
      </c>
      <c r="R15" s="93"/>
    </row>
    <row r="16" spans="1:18" ht="15.75">
      <c r="A16" s="125">
        <f t="shared" si="10"/>
        <v>36960</v>
      </c>
      <c r="B16" s="121">
        <v>0.6794787430683918</v>
      </c>
      <c r="C16" s="63">
        <f t="shared" si="0"/>
        <v>0.18425806451612908</v>
      </c>
      <c r="D16" s="63">
        <f t="shared" si="1"/>
        <v>0.33780645161290335</v>
      </c>
      <c r="E16" s="63">
        <f t="shared" si="2"/>
        <v>0.46064516129032274</v>
      </c>
      <c r="F16" s="63">
        <f t="shared" si="3"/>
        <v>0.5527741935483873</v>
      </c>
      <c r="G16" s="63">
        <v>0.6141935483870969</v>
      </c>
      <c r="H16" s="64"/>
      <c r="I16" s="54">
        <f t="shared" si="4"/>
        <v>0.12519943807763403</v>
      </c>
      <c r="J16" s="51">
        <f t="shared" si="5"/>
        <v>0.22953230314232909</v>
      </c>
      <c r="K16" s="51">
        <f t="shared" si="6"/>
        <v>0.3129985951940851</v>
      </c>
      <c r="L16" s="51">
        <f t="shared" si="7"/>
        <v>0.3755983142329022</v>
      </c>
      <c r="M16" s="55">
        <f t="shared" si="8"/>
        <v>0.41733146025878015</v>
      </c>
      <c r="N16" s="126">
        <f t="shared" si="11"/>
        <v>14.864949155884172</v>
      </c>
      <c r="O16" s="120"/>
      <c r="P16" s="93"/>
      <c r="Q16" s="93">
        <f t="shared" si="9"/>
        <v>0.05961878003696859</v>
      </c>
      <c r="R16" s="93"/>
    </row>
    <row r="17" spans="1:18" ht="15.75">
      <c r="A17" s="125">
        <f t="shared" si="10"/>
        <v>36967</v>
      </c>
      <c r="B17" s="121">
        <v>0.7677227356746765</v>
      </c>
      <c r="C17" s="63">
        <f t="shared" si="0"/>
        <v>0.192</v>
      </c>
      <c r="D17" s="63">
        <f t="shared" si="1"/>
        <v>0.35200000000000004</v>
      </c>
      <c r="E17" s="63">
        <f t="shared" si="2"/>
        <v>0.48</v>
      </c>
      <c r="F17" s="63">
        <f t="shared" si="3"/>
        <v>0.5760000000000001</v>
      </c>
      <c r="G17" s="63">
        <v>0.64</v>
      </c>
      <c r="H17" s="64"/>
      <c r="I17" s="54">
        <f t="shared" si="4"/>
        <v>0.1474027652495379</v>
      </c>
      <c r="J17" s="51">
        <f t="shared" si="5"/>
        <v>0.2702384029574862</v>
      </c>
      <c r="K17" s="51">
        <f t="shared" si="6"/>
        <v>0.3685069131238447</v>
      </c>
      <c r="L17" s="51">
        <f t="shared" si="7"/>
        <v>0.44220829574861376</v>
      </c>
      <c r="M17" s="55">
        <f t="shared" si="8"/>
        <v>0.491342550831793</v>
      </c>
      <c r="N17" s="126">
        <f t="shared" si="11"/>
        <v>17.50115371534196</v>
      </c>
      <c r="O17" s="120"/>
      <c r="P17" s="93"/>
      <c r="Q17" s="93">
        <f t="shared" si="9"/>
        <v>0.07019179297597043</v>
      </c>
      <c r="R17" s="93"/>
    </row>
    <row r="18" spans="1:18" ht="15.75">
      <c r="A18" s="125">
        <f t="shared" si="10"/>
        <v>36974</v>
      </c>
      <c r="B18" s="121">
        <v>0.8471423290203327</v>
      </c>
      <c r="C18" s="63">
        <f t="shared" si="0"/>
        <v>0.19989873417721518</v>
      </c>
      <c r="D18" s="63">
        <f t="shared" si="1"/>
        <v>0.36648101265822786</v>
      </c>
      <c r="E18" s="63">
        <f t="shared" si="2"/>
        <v>0.49974683544303794</v>
      </c>
      <c r="F18" s="63">
        <f t="shared" si="3"/>
        <v>0.5996962025316456</v>
      </c>
      <c r="G18" s="63">
        <v>0.6663291139240506</v>
      </c>
      <c r="H18" s="64"/>
      <c r="I18" s="54">
        <f t="shared" si="4"/>
        <v>0.16934267923910246</v>
      </c>
      <c r="J18" s="51">
        <f t="shared" si="5"/>
        <v>0.31046157860502116</v>
      </c>
      <c r="K18" s="51">
        <f t="shared" si="6"/>
        <v>0.4233566980977561</v>
      </c>
      <c r="L18" s="51">
        <f t="shared" si="7"/>
        <v>0.5080280377173074</v>
      </c>
      <c r="M18" s="55">
        <f t="shared" si="8"/>
        <v>0.5644755974636748</v>
      </c>
      <c r="N18" s="126">
        <f t="shared" si="11"/>
        <v>20.10608318584899</v>
      </c>
      <c r="O18" s="120"/>
      <c r="P18" s="93"/>
      <c r="Q18" s="93">
        <f t="shared" si="9"/>
        <v>0.08063937106623927</v>
      </c>
      <c r="R18" s="93"/>
    </row>
    <row r="19" spans="1:18" ht="15.75">
      <c r="A19" s="125">
        <f t="shared" si="10"/>
        <v>36981</v>
      </c>
      <c r="B19" s="121">
        <v>0.9442107208872459</v>
      </c>
      <c r="C19" s="63">
        <f t="shared" si="0"/>
        <v>0.21488372093023259</v>
      </c>
      <c r="D19" s="63">
        <f t="shared" si="1"/>
        <v>0.3939534883720931</v>
      </c>
      <c r="E19" s="63">
        <f t="shared" si="2"/>
        <v>0.5372093023255815</v>
      </c>
      <c r="F19" s="63">
        <f t="shared" si="3"/>
        <v>0.6446511627906978</v>
      </c>
      <c r="G19" s="63">
        <v>0.7162790697674419</v>
      </c>
      <c r="H19" s="64"/>
      <c r="I19" s="54">
        <f t="shared" si="4"/>
        <v>0.2028955130464687</v>
      </c>
      <c r="J19" s="51">
        <f t="shared" si="5"/>
        <v>0.3719751072518593</v>
      </c>
      <c r="K19" s="51">
        <f t="shared" si="6"/>
        <v>0.5072387826161717</v>
      </c>
      <c r="L19" s="51">
        <f t="shared" si="7"/>
        <v>0.6086865391394061</v>
      </c>
      <c r="M19" s="55">
        <f t="shared" si="8"/>
        <v>0.6763183768215623</v>
      </c>
      <c r="N19" s="126">
        <f t="shared" si="11"/>
        <v>24.089816469644223</v>
      </c>
      <c r="O19" s="120" t="s">
        <v>102</v>
      </c>
      <c r="P19" s="93">
        <f>SUM(M16:M19)+2*Q15</f>
        <v>2.2214750833425385</v>
      </c>
      <c r="Q19" s="93">
        <f t="shared" si="9"/>
        <v>0.09661691097450889</v>
      </c>
      <c r="R19" s="93"/>
    </row>
    <row r="20" spans="1:18" ht="15.75">
      <c r="A20" s="125">
        <f t="shared" si="10"/>
        <v>36988</v>
      </c>
      <c r="B20" s="121">
        <v>1.0385131775236198</v>
      </c>
      <c r="C20" s="63">
        <f t="shared" si="0"/>
        <v>0.22161702127659577</v>
      </c>
      <c r="D20" s="63">
        <f t="shared" si="1"/>
        <v>0.40629787234042564</v>
      </c>
      <c r="E20" s="63">
        <f t="shared" si="2"/>
        <v>0.5540425531914894</v>
      </c>
      <c r="F20" s="63">
        <f t="shared" si="3"/>
        <v>0.6648510638297873</v>
      </c>
      <c r="G20" s="63">
        <v>0.7387234042553192</v>
      </c>
      <c r="H20" s="64"/>
      <c r="I20" s="54">
        <f t="shared" si="4"/>
        <v>0.23015219695927713</v>
      </c>
      <c r="J20" s="51">
        <f t="shared" si="5"/>
        <v>0.42194569442534147</v>
      </c>
      <c r="K20" s="51">
        <f t="shared" si="6"/>
        <v>0.5753804923981929</v>
      </c>
      <c r="L20" s="51">
        <f t="shared" si="7"/>
        <v>0.6904565908778314</v>
      </c>
      <c r="M20" s="55">
        <f t="shared" si="8"/>
        <v>0.7671739898642571</v>
      </c>
      <c r="N20" s="126">
        <f t="shared" si="11"/>
        <v>27.326006877069727</v>
      </c>
      <c r="O20" s="120"/>
      <c r="P20" s="93"/>
      <c r="Q20" s="93">
        <f t="shared" si="9"/>
        <v>0.10959628426632244</v>
      </c>
      <c r="R20" s="93"/>
    </row>
    <row r="21" spans="1:18" ht="15.75">
      <c r="A21" s="125">
        <f t="shared" si="10"/>
        <v>36995</v>
      </c>
      <c r="B21" s="121">
        <v>1.1450273495773244</v>
      </c>
      <c r="C21" s="63">
        <f t="shared" si="0"/>
        <v>0.22615384615384615</v>
      </c>
      <c r="D21" s="63">
        <f t="shared" si="1"/>
        <v>0.41461538461538466</v>
      </c>
      <c r="E21" s="63">
        <f t="shared" si="2"/>
        <v>0.5653846153846154</v>
      </c>
      <c r="F21" s="63">
        <f t="shared" si="3"/>
        <v>0.6784615384615384</v>
      </c>
      <c r="G21" s="63">
        <v>0.7538461538461538</v>
      </c>
      <c r="H21" s="64"/>
      <c r="I21" s="54">
        <f t="shared" si="4"/>
        <v>0.25895233905825643</v>
      </c>
      <c r="J21" s="51">
        <f t="shared" si="5"/>
        <v>0.4747459549401369</v>
      </c>
      <c r="K21" s="51">
        <f t="shared" si="6"/>
        <v>0.6473808476456411</v>
      </c>
      <c r="L21" s="51">
        <f t="shared" si="7"/>
        <v>0.7768570171747693</v>
      </c>
      <c r="M21" s="55">
        <f t="shared" si="8"/>
        <v>0.8631744635275215</v>
      </c>
      <c r="N21" s="126">
        <f t="shared" si="11"/>
        <v>30.74545231993267</v>
      </c>
      <c r="O21" s="120"/>
      <c r="P21" s="93"/>
      <c r="Q21" s="93">
        <f t="shared" si="9"/>
        <v>0.12331063764678878</v>
      </c>
      <c r="R21" s="93"/>
    </row>
    <row r="22" spans="1:18" ht="15.75">
      <c r="A22" s="125">
        <f t="shared" si="10"/>
        <v>37002</v>
      </c>
      <c r="B22" s="121">
        <v>1.224912978617603</v>
      </c>
      <c r="C22" s="63">
        <f t="shared" si="0"/>
        <v>0.243</v>
      </c>
      <c r="D22" s="63">
        <f t="shared" si="1"/>
        <v>0.44550000000000006</v>
      </c>
      <c r="E22" s="63">
        <f t="shared" si="2"/>
        <v>0.6075</v>
      </c>
      <c r="F22" s="63">
        <f t="shared" si="3"/>
        <v>0.7290000000000001</v>
      </c>
      <c r="G22" s="63">
        <v>0.81</v>
      </c>
      <c r="H22" s="64"/>
      <c r="I22" s="54">
        <f t="shared" si="4"/>
        <v>0.2976538538040775</v>
      </c>
      <c r="J22" s="51">
        <f t="shared" si="5"/>
        <v>0.5456987319741422</v>
      </c>
      <c r="K22" s="51">
        <f t="shared" si="6"/>
        <v>0.7441346345101938</v>
      </c>
      <c r="L22" s="51">
        <f t="shared" si="7"/>
        <v>0.8929615614122327</v>
      </c>
      <c r="M22" s="55">
        <f t="shared" si="8"/>
        <v>0.9921795126802585</v>
      </c>
      <c r="N22" s="126">
        <f t="shared" si="11"/>
        <v>35.34048930880159</v>
      </c>
      <c r="O22" s="120"/>
      <c r="P22" s="93"/>
      <c r="Q22" s="93">
        <f t="shared" si="9"/>
        <v>0.14173993038289406</v>
      </c>
      <c r="R22" s="93"/>
    </row>
    <row r="23" spans="1:18" ht="15.75">
      <c r="A23" s="125">
        <f t="shared" si="10"/>
        <v>37009</v>
      </c>
      <c r="B23" s="121">
        <v>1.295922426653406</v>
      </c>
      <c r="C23" s="63">
        <f t="shared" si="0"/>
        <v>0.24991735537190085</v>
      </c>
      <c r="D23" s="63">
        <f t="shared" si="1"/>
        <v>0.4581818181818183</v>
      </c>
      <c r="E23" s="63">
        <f t="shared" si="2"/>
        <v>0.6247933884297522</v>
      </c>
      <c r="F23" s="63">
        <f t="shared" si="3"/>
        <v>0.7497520661157027</v>
      </c>
      <c r="G23" s="63">
        <v>0.8330578512396696</v>
      </c>
      <c r="H23" s="64"/>
      <c r="I23" s="54">
        <f t="shared" si="4"/>
        <v>0.32387350563635536</v>
      </c>
      <c r="J23" s="51">
        <f t="shared" si="5"/>
        <v>0.5937680936666516</v>
      </c>
      <c r="K23" s="51">
        <f t="shared" si="6"/>
        <v>0.8096837640908885</v>
      </c>
      <c r="L23" s="51">
        <f t="shared" si="7"/>
        <v>0.9716205169090663</v>
      </c>
      <c r="M23" s="55">
        <f t="shared" si="8"/>
        <v>1.0795783521211846</v>
      </c>
      <c r="N23" s="126">
        <f t="shared" si="11"/>
        <v>38.453552732697446</v>
      </c>
      <c r="O23" s="120" t="s">
        <v>103</v>
      </c>
      <c r="P23" s="93">
        <f>SUM(M20:M23)+2*Q24</f>
        <v>4.050560224294723</v>
      </c>
      <c r="Q23" s="93">
        <f t="shared" si="9"/>
        <v>0.15422547887445495</v>
      </c>
      <c r="R23" s="93"/>
    </row>
    <row r="24" spans="1:18" ht="15.75">
      <c r="A24" s="125">
        <f t="shared" si="10"/>
        <v>37016</v>
      </c>
      <c r="B24" s="121">
        <v>1.4155939935373505</v>
      </c>
      <c r="C24" s="63">
        <f t="shared" si="0"/>
        <v>0.25846153846153846</v>
      </c>
      <c r="D24" s="63">
        <f t="shared" si="1"/>
        <v>0.4738461538461539</v>
      </c>
      <c r="E24" s="63">
        <f t="shared" si="2"/>
        <v>0.6461538461538462</v>
      </c>
      <c r="F24" s="63">
        <f t="shared" si="3"/>
        <v>0.7753846153846154</v>
      </c>
      <c r="G24" s="63">
        <v>0.8615384615384616</v>
      </c>
      <c r="H24" s="64"/>
      <c r="I24" s="54">
        <f t="shared" si="4"/>
        <v>0.36587660140657674</v>
      </c>
      <c r="J24" s="51">
        <f t="shared" si="5"/>
        <v>0.6707737692453908</v>
      </c>
      <c r="K24" s="51">
        <f t="shared" si="6"/>
        <v>0.9146915035164419</v>
      </c>
      <c r="L24" s="51">
        <f t="shared" si="7"/>
        <v>1.0976298042197303</v>
      </c>
      <c r="M24" s="55">
        <f t="shared" si="8"/>
        <v>1.219588671355256</v>
      </c>
      <c r="N24" s="126">
        <f t="shared" si="11"/>
        <v>43.44058696065389</v>
      </c>
      <c r="O24" s="120"/>
      <c r="P24" s="93"/>
      <c r="Q24" s="93">
        <f t="shared" si="9"/>
        <v>0.17422695305075084</v>
      </c>
      <c r="R24" s="93"/>
    </row>
    <row r="25" spans="1:18" ht="15.75">
      <c r="A25" s="125">
        <f t="shared" si="10"/>
        <v>37023</v>
      </c>
      <c r="B25" s="121">
        <v>1.4791142368371033</v>
      </c>
      <c r="C25" s="63">
        <f t="shared" si="0"/>
        <v>0.27120000000000005</v>
      </c>
      <c r="D25" s="63">
        <f t="shared" si="1"/>
        <v>0.49720000000000014</v>
      </c>
      <c r="E25" s="63">
        <f t="shared" si="2"/>
        <v>0.6780000000000002</v>
      </c>
      <c r="F25" s="63">
        <f t="shared" si="3"/>
        <v>0.8136000000000001</v>
      </c>
      <c r="G25" s="63">
        <v>0.9040000000000001</v>
      </c>
      <c r="H25" s="64"/>
      <c r="I25" s="54">
        <f t="shared" si="4"/>
        <v>0.4011357810302225</v>
      </c>
      <c r="J25" s="51">
        <f t="shared" si="5"/>
        <v>0.735415598555408</v>
      </c>
      <c r="K25" s="51">
        <f t="shared" si="6"/>
        <v>1.0028394525755562</v>
      </c>
      <c r="L25" s="51">
        <f t="shared" si="7"/>
        <v>1.2034073430906673</v>
      </c>
      <c r="M25" s="55">
        <f t="shared" si="8"/>
        <v>1.3371192701007415</v>
      </c>
      <c r="N25" s="126">
        <f t="shared" si="11"/>
        <v>47.6269149540645</v>
      </c>
      <c r="O25" s="120"/>
      <c r="P25" s="93"/>
      <c r="Q25" s="93">
        <f t="shared" si="9"/>
        <v>0.19101703858582023</v>
      </c>
      <c r="R25" s="93"/>
    </row>
    <row r="26" spans="1:18" ht="15.75">
      <c r="A26" s="125">
        <f t="shared" si="10"/>
        <v>37030</v>
      </c>
      <c r="B26" s="121">
        <v>1.5426344801368563</v>
      </c>
      <c r="C26" s="63">
        <f t="shared" si="0"/>
        <v>0.2815135135135135</v>
      </c>
      <c r="D26" s="63">
        <f t="shared" si="1"/>
        <v>0.5161081081081081</v>
      </c>
      <c r="E26" s="63">
        <f t="shared" si="2"/>
        <v>0.7037837837837838</v>
      </c>
      <c r="F26" s="63">
        <f t="shared" si="3"/>
        <v>0.8445405405405406</v>
      </c>
      <c r="G26" s="63">
        <v>0.9383783783783785</v>
      </c>
      <c r="H26" s="64"/>
      <c r="I26" s="54">
        <f t="shared" si="4"/>
        <v>0.4342724525704188</v>
      </c>
      <c r="J26" s="51">
        <f t="shared" si="5"/>
        <v>0.7961661630457678</v>
      </c>
      <c r="K26" s="51">
        <f t="shared" si="6"/>
        <v>1.085681131426047</v>
      </c>
      <c r="L26" s="51">
        <f t="shared" si="7"/>
        <v>1.3028173577112565</v>
      </c>
      <c r="M26" s="55">
        <f t="shared" si="8"/>
        <v>1.447574841901396</v>
      </c>
      <c r="N26" s="126">
        <f t="shared" si="11"/>
        <v>51.56123722582116</v>
      </c>
      <c r="O26" s="120"/>
      <c r="P26" s="93"/>
      <c r="Q26" s="93">
        <f t="shared" si="9"/>
        <v>0.20679640598591373</v>
      </c>
      <c r="R26" s="93"/>
    </row>
    <row r="27" spans="1:18" ht="15.75">
      <c r="A27" s="125">
        <f t="shared" si="10"/>
        <v>37037</v>
      </c>
      <c r="B27" s="121">
        <v>1.5880060824938227</v>
      </c>
      <c r="C27" s="63">
        <f t="shared" si="0"/>
        <v>0.28861538461538466</v>
      </c>
      <c r="D27" s="63">
        <f t="shared" si="1"/>
        <v>0.5291282051282052</v>
      </c>
      <c r="E27" s="63">
        <f t="shared" si="2"/>
        <v>0.7215384615384617</v>
      </c>
      <c r="F27" s="63">
        <f t="shared" si="3"/>
        <v>0.865846153846154</v>
      </c>
      <c r="G27" s="63">
        <v>0.9620512820512822</v>
      </c>
      <c r="H27" s="64"/>
      <c r="I27" s="54">
        <f t="shared" si="4"/>
        <v>0.4583229862705249</v>
      </c>
      <c r="J27" s="51">
        <f t="shared" si="5"/>
        <v>0.840258808162629</v>
      </c>
      <c r="K27" s="51">
        <f t="shared" si="6"/>
        <v>1.1458074656763122</v>
      </c>
      <c r="L27" s="51">
        <f t="shared" si="7"/>
        <v>1.3749689588115748</v>
      </c>
      <c r="M27" s="55">
        <f t="shared" si="8"/>
        <v>1.5277432875684163</v>
      </c>
      <c r="N27" s="126">
        <f t="shared" si="11"/>
        <v>54.41676090957979</v>
      </c>
      <c r="O27" s="120"/>
      <c r="P27" s="93"/>
      <c r="Q27" s="93">
        <f t="shared" si="9"/>
        <v>0.21824904108120233</v>
      </c>
      <c r="R27" s="93"/>
    </row>
    <row r="28" spans="1:18" ht="15.75">
      <c r="A28" s="125">
        <f t="shared" si="10"/>
        <v>37044</v>
      </c>
      <c r="B28" s="121">
        <v>1.6424520053221823</v>
      </c>
      <c r="C28" s="63">
        <f t="shared" si="0"/>
        <v>0.29271165644171776</v>
      </c>
      <c r="D28" s="63">
        <f t="shared" si="1"/>
        <v>0.536638036809816</v>
      </c>
      <c r="E28" s="63">
        <f t="shared" si="2"/>
        <v>0.7317791411042944</v>
      </c>
      <c r="F28" s="63">
        <f t="shared" si="3"/>
        <v>0.8781349693251534</v>
      </c>
      <c r="G28" s="63">
        <v>0.9757055214723926</v>
      </c>
      <c r="H28" s="64"/>
      <c r="I28" s="54">
        <f t="shared" si="4"/>
        <v>0.480764847103877</v>
      </c>
      <c r="J28" s="51">
        <f t="shared" si="5"/>
        <v>0.8814022196904414</v>
      </c>
      <c r="K28" s="51">
        <f t="shared" si="6"/>
        <v>1.2019121177596925</v>
      </c>
      <c r="L28" s="51">
        <f t="shared" si="7"/>
        <v>1.4422945413116313</v>
      </c>
      <c r="M28" s="55">
        <f t="shared" si="8"/>
        <v>1.602549490346257</v>
      </c>
      <c r="N28" s="126">
        <f t="shared" si="11"/>
        <v>57.081286608523826</v>
      </c>
      <c r="O28" s="120" t="s">
        <v>17</v>
      </c>
      <c r="P28" s="93">
        <f>SUM(M24:M28)-2*Q28-2*Q23</f>
        <v>6.368253320567082</v>
      </c>
      <c r="Q28" s="93">
        <f t="shared" si="9"/>
        <v>0.22893564147803672</v>
      </c>
      <c r="R28" s="93"/>
    </row>
    <row r="29" spans="1:18" ht="15.75">
      <c r="A29" s="125">
        <f t="shared" si="10"/>
        <v>37051</v>
      </c>
      <c r="B29" s="121">
        <v>1.7795845272206303</v>
      </c>
      <c r="C29" s="63">
        <f t="shared" si="0"/>
        <v>0.2964705882352941</v>
      </c>
      <c r="D29" s="63">
        <f t="shared" si="1"/>
        <v>0.5435294117647059</v>
      </c>
      <c r="E29" s="63">
        <f t="shared" si="2"/>
        <v>0.7411764705882353</v>
      </c>
      <c r="F29" s="63">
        <f t="shared" si="3"/>
        <v>0.8894117647058825</v>
      </c>
      <c r="G29" s="63">
        <v>0.9882352941176471</v>
      </c>
      <c r="H29" s="64"/>
      <c r="I29" s="54">
        <f t="shared" si="4"/>
        <v>0.527594471599528</v>
      </c>
      <c r="J29" s="51">
        <f t="shared" si="5"/>
        <v>0.9672565312658015</v>
      </c>
      <c r="K29" s="51">
        <f t="shared" si="6"/>
        <v>1.3189861789988202</v>
      </c>
      <c r="L29" s="51">
        <f t="shared" si="7"/>
        <v>1.5827834147985844</v>
      </c>
      <c r="M29" s="55">
        <f t="shared" si="8"/>
        <v>1.7586482386650935</v>
      </c>
      <c r="N29" s="126">
        <f t="shared" si="11"/>
        <v>62.6413753581662</v>
      </c>
      <c r="O29" s="120"/>
      <c r="P29" s="93"/>
      <c r="Q29" s="93">
        <f t="shared" si="9"/>
        <v>0.2512354626664419</v>
      </c>
      <c r="R29" s="93"/>
    </row>
    <row r="30" spans="1:18" ht="15.75">
      <c r="A30" s="125">
        <f t="shared" si="10"/>
        <v>37058</v>
      </c>
      <c r="B30" s="121">
        <v>1.8186962750716336</v>
      </c>
      <c r="C30" s="63">
        <f t="shared" si="0"/>
        <v>0.3054545454545455</v>
      </c>
      <c r="D30" s="63">
        <f t="shared" si="1"/>
        <v>0.5600000000000002</v>
      </c>
      <c r="E30" s="63">
        <f t="shared" si="2"/>
        <v>0.7636363636363637</v>
      </c>
      <c r="F30" s="63">
        <f t="shared" si="3"/>
        <v>0.9163636363636365</v>
      </c>
      <c r="G30" s="63">
        <v>1.0181818181818183</v>
      </c>
      <c r="H30" s="64"/>
      <c r="I30" s="54">
        <f t="shared" si="4"/>
        <v>0.5555290440218809</v>
      </c>
      <c r="J30" s="51">
        <f t="shared" si="5"/>
        <v>1.018469914040115</v>
      </c>
      <c r="K30" s="51">
        <f t="shared" si="6"/>
        <v>1.388822610054702</v>
      </c>
      <c r="L30" s="51">
        <f t="shared" si="7"/>
        <v>1.6665871320656427</v>
      </c>
      <c r="M30" s="55">
        <f t="shared" si="8"/>
        <v>1.8517634800729361</v>
      </c>
      <c r="N30" s="126">
        <f t="shared" si="11"/>
        <v>65.95805157593125</v>
      </c>
      <c r="O30" s="120"/>
      <c r="P30" s="93"/>
      <c r="Q30" s="93">
        <f t="shared" si="9"/>
        <v>0.26453764001041946</v>
      </c>
      <c r="R30" s="93"/>
    </row>
    <row r="31" spans="1:18" ht="15.75">
      <c r="A31" s="125">
        <f t="shared" si="10"/>
        <v>37065</v>
      </c>
      <c r="B31" s="121">
        <v>1.8480300859598853</v>
      </c>
      <c r="C31" s="63">
        <f t="shared" si="0"/>
        <v>0.3153519553072625</v>
      </c>
      <c r="D31" s="63">
        <f t="shared" si="1"/>
        <v>0.5781452513966481</v>
      </c>
      <c r="E31" s="63">
        <f t="shared" si="2"/>
        <v>0.7883798882681563</v>
      </c>
      <c r="F31" s="63">
        <f t="shared" si="3"/>
        <v>0.9460558659217877</v>
      </c>
      <c r="G31" s="63">
        <v>1.0511731843575418</v>
      </c>
      <c r="H31" s="64"/>
      <c r="I31" s="54">
        <f t="shared" si="4"/>
        <v>0.5827799010740983</v>
      </c>
      <c r="J31" s="51">
        <f t="shared" si="5"/>
        <v>1.068429818635847</v>
      </c>
      <c r="K31" s="51">
        <f t="shared" si="6"/>
        <v>1.4569497526852457</v>
      </c>
      <c r="L31" s="51">
        <f t="shared" si="7"/>
        <v>1.748339703222295</v>
      </c>
      <c r="M31" s="55">
        <f t="shared" si="8"/>
        <v>1.9425996702469943</v>
      </c>
      <c r="N31" s="126">
        <f t="shared" si="11"/>
        <v>69.1935501592739</v>
      </c>
      <c r="O31" s="120"/>
      <c r="P31" s="93"/>
      <c r="Q31" s="93">
        <f t="shared" si="9"/>
        <v>0.2775142386067135</v>
      </c>
      <c r="R31" s="93"/>
    </row>
    <row r="32" spans="1:18" ht="15.75">
      <c r="A32" s="125">
        <f t="shared" si="10"/>
        <v>37072</v>
      </c>
      <c r="B32" s="121">
        <v>1.8480300859598853</v>
      </c>
      <c r="C32" s="63">
        <f t="shared" si="0"/>
        <v>0.319292817679558</v>
      </c>
      <c r="D32" s="63">
        <f t="shared" si="1"/>
        <v>0.5853701657458564</v>
      </c>
      <c r="E32" s="63">
        <f t="shared" si="2"/>
        <v>0.798232044198895</v>
      </c>
      <c r="F32" s="63">
        <f t="shared" si="3"/>
        <v>0.957878453038674</v>
      </c>
      <c r="G32" s="63">
        <v>1.0643093922651934</v>
      </c>
      <c r="H32" s="64"/>
      <c r="I32" s="54">
        <f t="shared" si="4"/>
        <v>0.5900627333027276</v>
      </c>
      <c r="J32" s="51">
        <f t="shared" si="5"/>
        <v>1.0817816777216673</v>
      </c>
      <c r="K32" s="51">
        <f t="shared" si="6"/>
        <v>1.475156833256819</v>
      </c>
      <c r="L32" s="51">
        <f t="shared" si="7"/>
        <v>1.7701881999081828</v>
      </c>
      <c r="M32" s="55">
        <f t="shared" si="8"/>
        <v>1.9668757776757586</v>
      </c>
      <c r="N32" s="126">
        <f t="shared" si="11"/>
        <v>70.05824198578416</v>
      </c>
      <c r="O32" s="120" t="s">
        <v>104</v>
      </c>
      <c r="P32" s="93">
        <f>SUM(M29:M32)+2*Q28</f>
        <v>7.977758449616855</v>
      </c>
      <c r="Q32" s="93">
        <f t="shared" si="9"/>
        <v>0.2809822539536798</v>
      </c>
      <c r="R32" s="93"/>
    </row>
    <row r="33" spans="1:18" ht="15.75">
      <c r="A33" s="125">
        <f t="shared" si="10"/>
        <v>37079</v>
      </c>
      <c r="B33" s="121">
        <v>1.8645532435740513</v>
      </c>
      <c r="C33" s="63">
        <f t="shared" si="0"/>
        <v>0.32300552486187845</v>
      </c>
      <c r="D33" s="63">
        <f t="shared" si="1"/>
        <v>0.5921767955801106</v>
      </c>
      <c r="E33" s="63">
        <f t="shared" si="2"/>
        <v>0.8075138121546961</v>
      </c>
      <c r="F33" s="63">
        <f t="shared" si="3"/>
        <v>0.9690165745856354</v>
      </c>
      <c r="G33" s="63">
        <v>1.0766850828729282</v>
      </c>
      <c r="H33" s="64"/>
      <c r="I33" s="54">
        <f t="shared" si="4"/>
        <v>0.6022609990735543</v>
      </c>
      <c r="J33" s="51">
        <f t="shared" si="5"/>
        <v>1.104145164968183</v>
      </c>
      <c r="K33" s="51">
        <f t="shared" si="6"/>
        <v>1.5056524976838856</v>
      </c>
      <c r="L33" s="51">
        <f t="shared" si="7"/>
        <v>1.806782997220663</v>
      </c>
      <c r="M33" s="55">
        <f t="shared" si="8"/>
        <v>2.0075366635785143</v>
      </c>
      <c r="N33" s="126">
        <f t="shared" si="11"/>
        <v>71.50654401698708</v>
      </c>
      <c r="O33" s="120"/>
      <c r="P33" s="93"/>
      <c r="Q33" s="93">
        <f t="shared" si="9"/>
        <v>0.28679095193978776</v>
      </c>
      <c r="R33" s="93"/>
    </row>
    <row r="34" spans="1:18" ht="15.75">
      <c r="A34" s="125">
        <f t="shared" si="10"/>
        <v>37086</v>
      </c>
      <c r="B34" s="121">
        <v>1.8645532435740513</v>
      </c>
      <c r="C34" s="63">
        <f t="shared" si="0"/>
        <v>0.32286033519553076</v>
      </c>
      <c r="D34" s="63">
        <f t="shared" si="1"/>
        <v>0.5919106145251397</v>
      </c>
      <c r="E34" s="63">
        <f t="shared" si="2"/>
        <v>0.8071508379888268</v>
      </c>
      <c r="F34" s="63">
        <f t="shared" si="3"/>
        <v>0.9685810055865922</v>
      </c>
      <c r="G34" s="63">
        <v>1.0762011173184358</v>
      </c>
      <c r="H34" s="64"/>
      <c r="I34" s="54">
        <f t="shared" si="4"/>
        <v>0.6019902852102323</v>
      </c>
      <c r="J34" s="51">
        <f t="shared" si="5"/>
        <v>1.1036488562187592</v>
      </c>
      <c r="K34" s="51">
        <f t="shared" si="6"/>
        <v>1.5049757130255805</v>
      </c>
      <c r="L34" s="51">
        <f t="shared" si="7"/>
        <v>1.8059708556306968</v>
      </c>
      <c r="M34" s="55">
        <f t="shared" si="8"/>
        <v>2.0066342840341074</v>
      </c>
      <c r="N34" s="126">
        <f t="shared" si="11"/>
        <v>71.4744021170244</v>
      </c>
      <c r="O34" s="120"/>
      <c r="P34" s="93"/>
      <c r="Q34" s="93">
        <f t="shared" si="9"/>
        <v>0.28666204057630107</v>
      </c>
      <c r="R34" s="93"/>
    </row>
    <row r="35" spans="1:18" ht="15.75">
      <c r="A35" s="125">
        <f t="shared" si="10"/>
        <v>37093</v>
      </c>
      <c r="B35" s="121">
        <v>1.7954957160342717</v>
      </c>
      <c r="C35" s="63">
        <f t="shared" si="0"/>
        <v>0.3226363636363636</v>
      </c>
      <c r="D35" s="63">
        <f t="shared" si="1"/>
        <v>0.5915</v>
      </c>
      <c r="E35" s="63">
        <f t="shared" si="2"/>
        <v>0.8065909090909091</v>
      </c>
      <c r="F35" s="63">
        <f t="shared" si="3"/>
        <v>0.9679090909090909</v>
      </c>
      <c r="G35" s="63">
        <v>1.0754545454545454</v>
      </c>
      <c r="H35" s="64"/>
      <c r="I35" s="54">
        <f t="shared" si="4"/>
        <v>0.5792922087459663</v>
      </c>
      <c r="J35" s="51">
        <f t="shared" si="5"/>
        <v>1.0620357160342717</v>
      </c>
      <c r="K35" s="51">
        <f t="shared" si="6"/>
        <v>1.448230521864916</v>
      </c>
      <c r="L35" s="51">
        <f t="shared" si="7"/>
        <v>1.7378766262378993</v>
      </c>
      <c r="M35" s="55">
        <f t="shared" si="8"/>
        <v>1.9309740291532214</v>
      </c>
      <c r="N35" s="126">
        <f t="shared" si="11"/>
        <v>68.77945589555284</v>
      </c>
      <c r="O35" s="120"/>
      <c r="P35" s="93"/>
      <c r="Q35" s="93">
        <f t="shared" si="9"/>
        <v>0.27585343273617446</v>
      </c>
      <c r="R35" s="93"/>
    </row>
    <row r="36" spans="1:18" ht="15.75">
      <c r="A36" s="125">
        <f t="shared" si="10"/>
        <v>37100</v>
      </c>
      <c r="B36" s="121">
        <v>1.7954957160342717</v>
      </c>
      <c r="C36" s="63">
        <f t="shared" si="0"/>
        <v>0.32232558139534884</v>
      </c>
      <c r="D36" s="63">
        <f t="shared" si="1"/>
        <v>0.5909302325581396</v>
      </c>
      <c r="E36" s="63">
        <f t="shared" si="2"/>
        <v>0.8058139534883721</v>
      </c>
      <c r="F36" s="63">
        <f t="shared" si="3"/>
        <v>0.9669767441860465</v>
      </c>
      <c r="G36" s="63">
        <v>1.0744186046511628</v>
      </c>
      <c r="H36" s="64"/>
      <c r="I36" s="54">
        <f t="shared" si="4"/>
        <v>0.5787342005636048</v>
      </c>
      <c r="J36" s="51">
        <f t="shared" si="5"/>
        <v>1.0610127010332755</v>
      </c>
      <c r="K36" s="51">
        <f t="shared" si="6"/>
        <v>1.4468355014090122</v>
      </c>
      <c r="L36" s="51">
        <f t="shared" si="7"/>
        <v>1.7362026016908143</v>
      </c>
      <c r="M36" s="55">
        <f t="shared" si="8"/>
        <v>1.9291140018786825</v>
      </c>
      <c r="N36" s="126">
        <f t="shared" si="11"/>
        <v>68.71320349548832</v>
      </c>
      <c r="O36" s="120" t="s">
        <v>105</v>
      </c>
      <c r="P36" s="93">
        <f>SUM(M33:M36)+3*Q37</f>
        <v>8.662822897145979</v>
      </c>
      <c r="Q36" s="93">
        <f t="shared" si="9"/>
        <v>0.27558771455409753</v>
      </c>
      <c r="R36" s="93"/>
    </row>
    <row r="37" spans="1:18" ht="15.75">
      <c r="A37" s="125">
        <f t="shared" si="10"/>
        <v>37107</v>
      </c>
      <c r="B37" s="121">
        <v>1.7156256138283241</v>
      </c>
      <c r="C37" s="63">
        <f t="shared" si="0"/>
        <v>0.32174545454545456</v>
      </c>
      <c r="D37" s="63">
        <f t="shared" si="1"/>
        <v>0.5898666666666668</v>
      </c>
      <c r="E37" s="63">
        <f t="shared" si="2"/>
        <v>0.8043636363636364</v>
      </c>
      <c r="F37" s="63">
        <f t="shared" si="3"/>
        <v>0.9652363636363638</v>
      </c>
      <c r="G37" s="63">
        <v>1.0724848484848486</v>
      </c>
      <c r="H37" s="64"/>
      <c r="I37" s="54">
        <f t="shared" si="4"/>
        <v>0.5519947429510186</v>
      </c>
      <c r="J37" s="51">
        <f t="shared" si="5"/>
        <v>1.0119903620768675</v>
      </c>
      <c r="K37" s="51">
        <f t="shared" si="6"/>
        <v>1.3799868573775467</v>
      </c>
      <c r="L37" s="51">
        <f t="shared" si="7"/>
        <v>1.6559842288530562</v>
      </c>
      <c r="M37" s="55">
        <f t="shared" si="8"/>
        <v>1.8399824765033956</v>
      </c>
      <c r="N37" s="126">
        <f t="shared" si="11"/>
        <v>65.53842344878763</v>
      </c>
      <c r="O37" s="120"/>
      <c r="P37" s="93"/>
      <c r="Q37" s="93">
        <f t="shared" si="9"/>
        <v>0.2628546395004851</v>
      </c>
      <c r="R37" s="93"/>
    </row>
    <row r="38" spans="1:18" ht="15.75">
      <c r="A38" s="125">
        <f t="shared" si="10"/>
        <v>37114</v>
      </c>
      <c r="B38" s="121">
        <v>1.6862148890198385</v>
      </c>
      <c r="C38" s="63">
        <f t="shared" si="0"/>
        <v>0.32324050632911394</v>
      </c>
      <c r="D38" s="63">
        <f t="shared" si="1"/>
        <v>0.5926075949367089</v>
      </c>
      <c r="E38" s="63">
        <f t="shared" si="2"/>
        <v>0.8081012658227849</v>
      </c>
      <c r="F38" s="63">
        <f t="shared" si="3"/>
        <v>0.9697215189873418</v>
      </c>
      <c r="G38" s="63">
        <v>1.0774683544303798</v>
      </c>
      <c r="H38" s="64"/>
      <c r="I38" s="54">
        <f t="shared" si="4"/>
        <v>0.5450529545064633</v>
      </c>
      <c r="J38" s="51">
        <f t="shared" si="5"/>
        <v>0.999263749928516</v>
      </c>
      <c r="K38" s="51">
        <f t="shared" si="6"/>
        <v>1.3626323862661582</v>
      </c>
      <c r="L38" s="51">
        <f t="shared" si="7"/>
        <v>1.6351588635193899</v>
      </c>
      <c r="M38" s="55">
        <f t="shared" si="8"/>
        <v>1.816843181688211</v>
      </c>
      <c r="N38" s="126">
        <f t="shared" si="11"/>
        <v>64.71422380489437</v>
      </c>
      <c r="O38" s="120"/>
      <c r="P38" s="93"/>
      <c r="Q38" s="93">
        <f t="shared" si="9"/>
        <v>0.2595490259554587</v>
      </c>
      <c r="R38" s="93"/>
    </row>
    <row r="39" spans="1:18" ht="15.75">
      <c r="A39" s="125">
        <f t="shared" si="10"/>
        <v>37121</v>
      </c>
      <c r="B39" s="121">
        <v>1.6273934394028673</v>
      </c>
      <c r="C39" s="63">
        <f aca="true" t="shared" si="12" ref="C39:C58">G39*0.3</f>
        <v>0.32256</v>
      </c>
      <c r="D39" s="63">
        <f aca="true" t="shared" si="13" ref="D39:D58">G39*0.55</f>
        <v>0.5913600000000001</v>
      </c>
      <c r="E39" s="63">
        <f aca="true" t="shared" si="14" ref="E39:E58">G39*0.75</f>
        <v>0.8064000000000001</v>
      </c>
      <c r="F39" s="63">
        <f aca="true" t="shared" si="15" ref="F39:F58">G39*0.9</f>
        <v>0.9676800000000002</v>
      </c>
      <c r="G39" s="63">
        <v>1.0752000000000002</v>
      </c>
      <c r="H39" s="64"/>
      <c r="I39" s="54">
        <f aca="true" t="shared" si="16" ref="I39:I58">$B39*C39</f>
        <v>0.5249320278137889</v>
      </c>
      <c r="J39" s="51">
        <f aca="true" t="shared" si="17" ref="J39:J58">$B39*D39</f>
        <v>0.9623753843252798</v>
      </c>
      <c r="K39" s="51">
        <f aca="true" t="shared" si="18" ref="K39:K58">$B39*E39</f>
        <v>1.3123300695344724</v>
      </c>
      <c r="L39" s="51">
        <f aca="true" t="shared" si="19" ref="L39:L58">$B39*F39</f>
        <v>1.574796083441367</v>
      </c>
      <c r="M39" s="55">
        <f aca="true" t="shared" si="20" ref="M39:M58">$B39*G39</f>
        <v>1.7497734260459632</v>
      </c>
      <c r="N39" s="126">
        <f t="shared" si="11"/>
        <v>62.325262984875266</v>
      </c>
      <c r="O39" s="120"/>
      <c r="P39" s="93"/>
      <c r="Q39" s="93">
        <f aca="true" t="shared" si="21" ref="Q39:Q58">M39/7</f>
        <v>0.24996763229228045</v>
      </c>
      <c r="R39" s="93"/>
    </row>
    <row r="40" spans="1:18" ht="15.75">
      <c r="A40" s="125">
        <f aca="true" t="shared" si="22" ref="A40:A58">A39+7</f>
        <v>37128</v>
      </c>
      <c r="B40" s="121">
        <v>1.5587684148497347</v>
      </c>
      <c r="C40" s="63">
        <f t="shared" si="12"/>
        <v>0.32190209790209795</v>
      </c>
      <c r="D40" s="63">
        <f t="shared" si="13"/>
        <v>0.5901538461538464</v>
      </c>
      <c r="E40" s="63">
        <f t="shared" si="14"/>
        <v>0.8047552447552448</v>
      </c>
      <c r="F40" s="63">
        <f t="shared" si="15"/>
        <v>0.9657062937062939</v>
      </c>
      <c r="G40" s="63">
        <v>1.0730069930069932</v>
      </c>
      <c r="H40" s="64"/>
      <c r="I40" s="54">
        <f t="shared" si="16"/>
        <v>0.5017708228836574</v>
      </c>
      <c r="J40" s="51">
        <f t="shared" si="17"/>
        <v>0.9199131752867054</v>
      </c>
      <c r="K40" s="51">
        <f t="shared" si="18"/>
        <v>1.2544270572091434</v>
      </c>
      <c r="L40" s="51">
        <f t="shared" si="19"/>
        <v>1.505312468650972</v>
      </c>
      <c r="M40" s="55">
        <f t="shared" si="20"/>
        <v>1.6725694096121912</v>
      </c>
      <c r="N40" s="126">
        <f t="shared" si="11"/>
        <v>59.575329447139</v>
      </c>
      <c r="O40" s="120"/>
      <c r="P40" s="93"/>
      <c r="Q40" s="93">
        <f t="shared" si="21"/>
        <v>0.23893848708745588</v>
      </c>
      <c r="R40" s="93"/>
    </row>
    <row r="41" spans="1:18" ht="15.75">
      <c r="A41" s="125">
        <f t="shared" si="22"/>
        <v>37135</v>
      </c>
      <c r="B41" s="121">
        <v>1.4901433902966015</v>
      </c>
      <c r="C41" s="63">
        <f t="shared" si="12"/>
        <v>0.3211764705882353</v>
      </c>
      <c r="D41" s="63">
        <f t="shared" si="13"/>
        <v>0.5888235294117647</v>
      </c>
      <c r="E41" s="63">
        <f t="shared" si="14"/>
        <v>0.8029411764705883</v>
      </c>
      <c r="F41" s="63">
        <f t="shared" si="15"/>
        <v>0.9635294117647059</v>
      </c>
      <c r="G41" s="63">
        <v>1.0705882352941176</v>
      </c>
      <c r="H41" s="64"/>
      <c r="I41" s="54">
        <f t="shared" si="16"/>
        <v>0.47859899476584966</v>
      </c>
      <c r="J41" s="51">
        <f t="shared" si="17"/>
        <v>0.8774314904040578</v>
      </c>
      <c r="K41" s="51">
        <f t="shared" si="18"/>
        <v>1.196497486914624</v>
      </c>
      <c r="L41" s="51">
        <f t="shared" si="19"/>
        <v>1.4357969842975489</v>
      </c>
      <c r="M41" s="55">
        <f t="shared" si="20"/>
        <v>1.5953299825528322</v>
      </c>
      <c r="N41" s="126">
        <f t="shared" si="11"/>
        <v>56.82413461664374</v>
      </c>
      <c r="O41" s="120" t="s">
        <v>106</v>
      </c>
      <c r="P41" s="93">
        <f>SUM(M37:M41)-3*Q37-1*Q41</f>
        <v>7.658030274679305</v>
      </c>
      <c r="Q41" s="93">
        <f t="shared" si="21"/>
        <v>0.22790428322183318</v>
      </c>
      <c r="R41" s="93"/>
    </row>
    <row r="42" spans="1:18" ht="15.75">
      <c r="A42" s="125">
        <f t="shared" si="22"/>
        <v>37142</v>
      </c>
      <c r="B42" s="121">
        <v>1.380821917808219</v>
      </c>
      <c r="C42" s="63">
        <f t="shared" si="12"/>
        <v>0.317625</v>
      </c>
      <c r="D42" s="63">
        <f t="shared" si="13"/>
        <v>0.5823125000000001</v>
      </c>
      <c r="E42" s="63">
        <f t="shared" si="14"/>
        <v>0.7940625000000001</v>
      </c>
      <c r="F42" s="63">
        <f t="shared" si="15"/>
        <v>0.9528750000000001</v>
      </c>
      <c r="G42" s="63">
        <v>1.05875</v>
      </c>
      <c r="H42" s="64"/>
      <c r="I42" s="54">
        <f t="shared" si="16"/>
        <v>0.43858356164383555</v>
      </c>
      <c r="J42" s="51">
        <f t="shared" si="17"/>
        <v>0.8040698630136988</v>
      </c>
      <c r="K42" s="51">
        <f t="shared" si="18"/>
        <v>1.0964589041095891</v>
      </c>
      <c r="L42" s="51">
        <f t="shared" si="19"/>
        <v>1.3157506849315068</v>
      </c>
      <c r="M42" s="55">
        <f t="shared" si="20"/>
        <v>1.461945205479452</v>
      </c>
      <c r="N42" s="126">
        <f t="shared" si="11"/>
        <v>52.073095890410954</v>
      </c>
      <c r="O42" s="120"/>
      <c r="P42" s="93"/>
      <c r="Q42" s="93">
        <f t="shared" si="21"/>
        <v>0.20884931506849314</v>
      </c>
      <c r="R42" s="93"/>
    </row>
    <row r="43" spans="1:18" ht="15.75">
      <c r="A43" s="125">
        <f t="shared" si="22"/>
        <v>37149</v>
      </c>
      <c r="B43" s="121">
        <v>1.3136986301369862</v>
      </c>
      <c r="C43" s="63">
        <f t="shared" si="12"/>
        <v>0.3105882352941177</v>
      </c>
      <c r="D43" s="63">
        <f t="shared" si="13"/>
        <v>0.5694117647058826</v>
      </c>
      <c r="E43" s="63">
        <f t="shared" si="14"/>
        <v>0.7764705882352944</v>
      </c>
      <c r="F43" s="63">
        <f t="shared" si="15"/>
        <v>0.9317647058823533</v>
      </c>
      <c r="G43" s="63">
        <v>1.0352941176470591</v>
      </c>
      <c r="H43" s="64"/>
      <c r="I43" s="54">
        <f t="shared" si="16"/>
        <v>0.4080193392425464</v>
      </c>
      <c r="J43" s="51">
        <f t="shared" si="17"/>
        <v>0.7480354552780019</v>
      </c>
      <c r="K43" s="51">
        <f t="shared" si="18"/>
        <v>1.020048348106366</v>
      </c>
      <c r="L43" s="51">
        <f t="shared" si="19"/>
        <v>1.2240580177276392</v>
      </c>
      <c r="M43" s="55">
        <f t="shared" si="20"/>
        <v>1.3600644641418214</v>
      </c>
      <c r="N43" s="126">
        <f t="shared" si="11"/>
        <v>48.44420091324202</v>
      </c>
      <c r="O43" s="120"/>
      <c r="P43" s="93"/>
      <c r="Q43" s="93">
        <f t="shared" si="21"/>
        <v>0.19429492344883162</v>
      </c>
      <c r="R43" s="93"/>
    </row>
    <row r="44" spans="1:18" ht="15.75">
      <c r="A44" s="125">
        <f t="shared" si="22"/>
        <v>37156</v>
      </c>
      <c r="B44" s="121">
        <v>1.2273972602739724</v>
      </c>
      <c r="C44" s="63">
        <f t="shared" si="12"/>
        <v>0.30517431192660543</v>
      </c>
      <c r="D44" s="63">
        <f t="shared" si="13"/>
        <v>0.5594862385321101</v>
      </c>
      <c r="E44" s="63">
        <f t="shared" si="14"/>
        <v>0.7629357798165137</v>
      </c>
      <c r="F44" s="63">
        <f t="shared" si="15"/>
        <v>0.9155229357798165</v>
      </c>
      <c r="G44" s="63">
        <v>1.0172477064220182</v>
      </c>
      <c r="H44" s="64"/>
      <c r="I44" s="54">
        <f t="shared" si="16"/>
        <v>0.37457011436471016</v>
      </c>
      <c r="J44" s="51">
        <f t="shared" si="17"/>
        <v>0.6867118763353022</v>
      </c>
      <c r="K44" s="51">
        <f t="shared" si="18"/>
        <v>0.9364252859117757</v>
      </c>
      <c r="L44" s="51">
        <f t="shared" si="19"/>
        <v>1.1237103430941306</v>
      </c>
      <c r="M44" s="55">
        <f t="shared" si="20"/>
        <v>1.2485670478823674</v>
      </c>
      <c r="N44" s="126">
        <f t="shared" si="11"/>
        <v>44.472769134095756</v>
      </c>
      <c r="O44" s="120"/>
      <c r="P44" s="93"/>
      <c r="Q44" s="93">
        <f t="shared" si="21"/>
        <v>0.17836672112605248</v>
      </c>
      <c r="R44" s="93"/>
    </row>
    <row r="45" spans="1:18" ht="15.75">
      <c r="A45" s="125">
        <f t="shared" si="22"/>
        <v>37163</v>
      </c>
      <c r="B45" s="121">
        <v>1.1219178082191779</v>
      </c>
      <c r="C45" s="63">
        <f t="shared" si="12"/>
        <v>0.2918787878787879</v>
      </c>
      <c r="D45" s="63">
        <f t="shared" si="13"/>
        <v>0.5351111111111112</v>
      </c>
      <c r="E45" s="63">
        <f t="shared" si="14"/>
        <v>0.7296969696969698</v>
      </c>
      <c r="F45" s="63">
        <f t="shared" si="15"/>
        <v>0.8756363636363638</v>
      </c>
      <c r="G45" s="63">
        <v>0.9729292929292931</v>
      </c>
      <c r="H45" s="64"/>
      <c r="I45" s="54">
        <f t="shared" si="16"/>
        <v>0.3274640099626401</v>
      </c>
      <c r="J45" s="51">
        <f t="shared" si="17"/>
        <v>0.6003506849315068</v>
      </c>
      <c r="K45" s="51">
        <f t="shared" si="18"/>
        <v>0.8186600249066003</v>
      </c>
      <c r="L45" s="51">
        <f t="shared" si="19"/>
        <v>0.9823920298879203</v>
      </c>
      <c r="M45" s="55">
        <f t="shared" si="20"/>
        <v>1.091546699875467</v>
      </c>
      <c r="N45" s="126">
        <f t="shared" si="11"/>
        <v>38.87985388127854</v>
      </c>
      <c r="O45" s="120" t="s">
        <v>107</v>
      </c>
      <c r="P45" s="93">
        <f>SUM(M42:M45)+1*Q46+1*Q41</f>
        <v>5.528856958912962</v>
      </c>
      <c r="Q45" s="93">
        <f t="shared" si="21"/>
        <v>0.15593524283935242</v>
      </c>
      <c r="R45" s="93"/>
    </row>
    <row r="46" spans="1:18" ht="15.75">
      <c r="A46" s="125">
        <f t="shared" si="22"/>
        <v>37170</v>
      </c>
      <c r="B46" s="121">
        <v>1.027519181585678</v>
      </c>
      <c r="C46" s="63">
        <f t="shared" si="12"/>
        <v>0.28373333333333334</v>
      </c>
      <c r="D46" s="63">
        <f t="shared" si="13"/>
        <v>0.5201777777777778</v>
      </c>
      <c r="E46" s="63">
        <f t="shared" si="14"/>
        <v>0.7093333333333334</v>
      </c>
      <c r="F46" s="63">
        <f t="shared" si="15"/>
        <v>0.8512000000000001</v>
      </c>
      <c r="G46" s="63">
        <v>0.9457777777777778</v>
      </c>
      <c r="H46" s="64"/>
      <c r="I46" s="54">
        <f t="shared" si="16"/>
        <v>0.291541442455243</v>
      </c>
      <c r="J46" s="51">
        <f t="shared" si="17"/>
        <v>0.534492644501279</v>
      </c>
      <c r="K46" s="51">
        <f t="shared" si="18"/>
        <v>0.7288536061381076</v>
      </c>
      <c r="L46" s="51">
        <f t="shared" si="19"/>
        <v>0.8746243273657291</v>
      </c>
      <c r="M46" s="55">
        <f t="shared" si="20"/>
        <v>0.9718048081841434</v>
      </c>
      <c r="N46" s="126">
        <f t="shared" si="11"/>
        <v>34.614761739130444</v>
      </c>
      <c r="O46" s="120"/>
      <c r="P46" s="93"/>
      <c r="Q46" s="93">
        <f t="shared" si="21"/>
        <v>0.13882925831202048</v>
      </c>
      <c r="R46" s="93"/>
    </row>
    <row r="47" spans="1:18" ht="15.75">
      <c r="A47" s="125">
        <f t="shared" si="22"/>
        <v>37177</v>
      </c>
      <c r="B47" s="121">
        <v>0.932378516624041</v>
      </c>
      <c r="C47" s="63">
        <f t="shared" si="12"/>
        <v>0.2646</v>
      </c>
      <c r="D47" s="63">
        <f t="shared" si="13"/>
        <v>0.48510000000000003</v>
      </c>
      <c r="E47" s="63">
        <f t="shared" si="14"/>
        <v>0.6615</v>
      </c>
      <c r="F47" s="63">
        <f t="shared" si="15"/>
        <v>0.7938000000000001</v>
      </c>
      <c r="G47" s="63">
        <v>0.882</v>
      </c>
      <c r="H47" s="64"/>
      <c r="I47" s="54">
        <f t="shared" si="16"/>
        <v>0.24670735549872125</v>
      </c>
      <c r="J47" s="51">
        <f t="shared" si="17"/>
        <v>0.45229681841432234</v>
      </c>
      <c r="K47" s="51">
        <f t="shared" si="18"/>
        <v>0.6167683887468032</v>
      </c>
      <c r="L47" s="51">
        <f t="shared" si="19"/>
        <v>0.7401220664961639</v>
      </c>
      <c r="M47" s="55">
        <f t="shared" si="20"/>
        <v>0.8223578516624042</v>
      </c>
      <c r="N47" s="126">
        <f t="shared" si="11"/>
        <v>29.291603478260868</v>
      </c>
      <c r="O47" s="120"/>
      <c r="P47" s="93"/>
      <c r="Q47" s="93">
        <f t="shared" si="21"/>
        <v>0.11747969309462916</v>
      </c>
      <c r="R47" s="93"/>
    </row>
    <row r="48" spans="1:18" ht="15.75">
      <c r="A48" s="125">
        <f t="shared" si="22"/>
        <v>37184</v>
      </c>
      <c r="B48" s="121">
        <v>0.8372378516624043</v>
      </c>
      <c r="C48" s="63">
        <f t="shared" si="12"/>
        <v>0.264</v>
      </c>
      <c r="D48" s="63">
        <f t="shared" si="13"/>
        <v>0.48400000000000004</v>
      </c>
      <c r="E48" s="63">
        <f t="shared" si="14"/>
        <v>0.66</v>
      </c>
      <c r="F48" s="63">
        <f t="shared" si="15"/>
        <v>0.792</v>
      </c>
      <c r="G48" s="63">
        <v>0.88</v>
      </c>
      <c r="H48" s="64"/>
      <c r="I48" s="54">
        <f t="shared" si="16"/>
        <v>0.22103079283887475</v>
      </c>
      <c r="J48" s="51">
        <f t="shared" si="17"/>
        <v>0.4052231202046037</v>
      </c>
      <c r="K48" s="51">
        <f t="shared" si="18"/>
        <v>0.5525769820971869</v>
      </c>
      <c r="L48" s="51">
        <f t="shared" si="19"/>
        <v>0.6630923785166242</v>
      </c>
      <c r="M48" s="55">
        <f t="shared" si="20"/>
        <v>0.7367693094629157</v>
      </c>
      <c r="N48" s="126">
        <f t="shared" si="11"/>
        <v>26.24302111801243</v>
      </c>
      <c r="O48" s="120"/>
      <c r="P48" s="93"/>
      <c r="Q48" s="93">
        <f t="shared" si="21"/>
        <v>0.10525275849470225</v>
      </c>
      <c r="R48" s="93"/>
    </row>
    <row r="49" spans="1:18" ht="15.75">
      <c r="A49" s="125">
        <f t="shared" si="22"/>
        <v>37191</v>
      </c>
      <c r="B49" s="121">
        <v>0.72306905370844</v>
      </c>
      <c r="C49" s="63">
        <f t="shared" si="12"/>
        <v>0.24929032258064518</v>
      </c>
      <c r="D49" s="63">
        <f t="shared" si="13"/>
        <v>0.4570322580645162</v>
      </c>
      <c r="E49" s="63">
        <f t="shared" si="14"/>
        <v>0.623225806451613</v>
      </c>
      <c r="F49" s="63">
        <f t="shared" si="15"/>
        <v>0.7478709677419356</v>
      </c>
      <c r="G49" s="63">
        <v>0.830967741935484</v>
      </c>
      <c r="H49" s="64"/>
      <c r="I49" s="54">
        <f t="shared" si="16"/>
        <v>0.18025411764705887</v>
      </c>
      <c r="J49" s="51">
        <f t="shared" si="17"/>
        <v>0.3304658823529413</v>
      </c>
      <c r="K49" s="51">
        <f t="shared" si="18"/>
        <v>0.45063529411764713</v>
      </c>
      <c r="L49" s="51">
        <f t="shared" si="19"/>
        <v>0.5407623529411767</v>
      </c>
      <c r="M49" s="55">
        <f t="shared" si="20"/>
        <v>0.6008470588235295</v>
      </c>
      <c r="N49" s="126">
        <f t="shared" si="11"/>
        <v>21.401600000000006</v>
      </c>
      <c r="O49" s="120" t="s">
        <v>108</v>
      </c>
      <c r="P49" s="93">
        <f>SUM(M46:M49)-1*Q45+4*Q50</f>
        <v>3.239169514403198</v>
      </c>
      <c r="Q49" s="93">
        <f t="shared" si="21"/>
        <v>0.08583529411764708</v>
      </c>
      <c r="R49" s="93"/>
    </row>
    <row r="50" spans="1:18" ht="15.75">
      <c r="A50" s="125">
        <f t="shared" si="22"/>
        <v>37198</v>
      </c>
      <c r="B50" s="121">
        <v>0.5893692416725727</v>
      </c>
      <c r="C50" s="63">
        <f t="shared" si="12"/>
        <v>0.23456603773584905</v>
      </c>
      <c r="D50" s="63">
        <f t="shared" si="13"/>
        <v>0.43003773584905663</v>
      </c>
      <c r="E50" s="63">
        <f t="shared" si="14"/>
        <v>0.5864150943396227</v>
      </c>
      <c r="F50" s="63">
        <f t="shared" si="15"/>
        <v>0.7036981132075472</v>
      </c>
      <c r="G50" s="63">
        <v>0.7818867924528302</v>
      </c>
      <c r="H50" s="64"/>
      <c r="I50" s="54">
        <f t="shared" si="16"/>
        <v>0.13824600778251742</v>
      </c>
      <c r="J50" s="51">
        <f t="shared" si="17"/>
        <v>0.25345101426794864</v>
      </c>
      <c r="K50" s="51">
        <f t="shared" si="18"/>
        <v>0.3456150194562936</v>
      </c>
      <c r="L50" s="51">
        <f t="shared" si="19"/>
        <v>0.4147380233475523</v>
      </c>
      <c r="M50" s="55">
        <f t="shared" si="20"/>
        <v>0.4608200259417247</v>
      </c>
      <c r="N50" s="126">
        <f t="shared" si="11"/>
        <v>16.41397044782905</v>
      </c>
      <c r="O50" s="120"/>
      <c r="P50" s="93"/>
      <c r="Q50" s="93">
        <f t="shared" si="21"/>
        <v>0.06583143227738925</v>
      </c>
      <c r="R50" s="93"/>
    </row>
    <row r="51" spans="1:18" ht="15.75">
      <c r="A51" s="125">
        <f t="shared" si="22"/>
        <v>37205</v>
      </c>
      <c r="B51" s="121">
        <v>0.5000708717221829</v>
      </c>
      <c r="C51" s="63">
        <f t="shared" si="12"/>
        <v>0.21381818181818185</v>
      </c>
      <c r="D51" s="63">
        <f t="shared" si="13"/>
        <v>0.3920000000000001</v>
      </c>
      <c r="E51" s="63">
        <f t="shared" si="14"/>
        <v>0.5345454545454547</v>
      </c>
      <c r="F51" s="63">
        <f t="shared" si="15"/>
        <v>0.6414545454545456</v>
      </c>
      <c r="G51" s="63">
        <v>0.7127272727272729</v>
      </c>
      <c r="H51" s="64"/>
      <c r="I51" s="54">
        <f t="shared" si="16"/>
        <v>0.1069242445718704</v>
      </c>
      <c r="J51" s="51">
        <f t="shared" si="17"/>
        <v>0.19602778171509577</v>
      </c>
      <c r="K51" s="51">
        <f t="shared" si="18"/>
        <v>0.267310611429676</v>
      </c>
      <c r="L51" s="51">
        <f t="shared" si="19"/>
        <v>0.3207727337156112</v>
      </c>
      <c r="M51" s="55">
        <f t="shared" si="20"/>
        <v>0.3564141485729013</v>
      </c>
      <c r="N51" s="126">
        <f t="shared" si="11"/>
        <v>12.695132530120485</v>
      </c>
      <c r="O51" s="120"/>
      <c r="P51" s="93"/>
      <c r="Q51" s="93">
        <f t="shared" si="21"/>
        <v>0.050916306938985904</v>
      </c>
      <c r="R51" s="93"/>
    </row>
    <row r="52" spans="1:18" ht="15.75">
      <c r="A52" s="125">
        <f t="shared" si="22"/>
        <v>37212</v>
      </c>
      <c r="B52" s="121">
        <v>0.419702338766832</v>
      </c>
      <c r="C52" s="63">
        <f t="shared" si="12"/>
        <v>0.20533333333333334</v>
      </c>
      <c r="D52" s="63">
        <f t="shared" si="13"/>
        <v>0.3764444444444445</v>
      </c>
      <c r="E52" s="63">
        <f t="shared" si="14"/>
        <v>0.5133333333333334</v>
      </c>
      <c r="F52" s="63">
        <f t="shared" si="15"/>
        <v>0.6160000000000001</v>
      </c>
      <c r="G52" s="63">
        <v>0.6844444444444445</v>
      </c>
      <c r="H52" s="64"/>
      <c r="I52" s="54">
        <f t="shared" si="16"/>
        <v>0.0861788802267895</v>
      </c>
      <c r="J52" s="51">
        <f t="shared" si="17"/>
        <v>0.1579946137491141</v>
      </c>
      <c r="K52" s="51">
        <f t="shared" si="18"/>
        <v>0.2154472005669738</v>
      </c>
      <c r="L52" s="51">
        <f t="shared" si="19"/>
        <v>0.2585366406803686</v>
      </c>
      <c r="M52" s="55">
        <f t="shared" si="20"/>
        <v>0.28726293408929837</v>
      </c>
      <c r="N52" s="126">
        <f t="shared" si="11"/>
        <v>10.232032128514058</v>
      </c>
      <c r="O52" s="120"/>
      <c r="P52" s="93"/>
      <c r="Q52" s="93">
        <f t="shared" si="21"/>
        <v>0.04103756201275691</v>
      </c>
      <c r="R52" s="93"/>
    </row>
    <row r="53" spans="1:18" ht="15.75">
      <c r="A53" s="125">
        <f t="shared" si="22"/>
        <v>37219</v>
      </c>
      <c r="B53" s="121">
        <v>0.36612331679659815</v>
      </c>
      <c r="C53" s="63">
        <f t="shared" si="12"/>
        <v>0.1792</v>
      </c>
      <c r="D53" s="63">
        <f t="shared" si="13"/>
        <v>0.3285333333333334</v>
      </c>
      <c r="E53" s="63">
        <f t="shared" si="14"/>
        <v>0.44800000000000006</v>
      </c>
      <c r="F53" s="63">
        <f t="shared" si="15"/>
        <v>0.5376000000000001</v>
      </c>
      <c r="G53" s="63">
        <v>0.5973333333333334</v>
      </c>
      <c r="H53" s="64"/>
      <c r="I53" s="54">
        <f t="shared" si="16"/>
        <v>0.06560929836995039</v>
      </c>
      <c r="J53" s="51">
        <f t="shared" si="17"/>
        <v>0.12028371367824241</v>
      </c>
      <c r="K53" s="51">
        <f t="shared" si="18"/>
        <v>0.164023245924876</v>
      </c>
      <c r="L53" s="51">
        <f t="shared" si="19"/>
        <v>0.1968278951098512</v>
      </c>
      <c r="M53" s="55">
        <f t="shared" si="20"/>
        <v>0.21869766123316797</v>
      </c>
      <c r="N53" s="126">
        <f t="shared" si="11"/>
        <v>7.789802409638555</v>
      </c>
      <c r="O53" s="120"/>
      <c r="P53" s="93"/>
      <c r="Q53" s="93">
        <f t="shared" si="21"/>
        <v>0.03124252303330971</v>
      </c>
      <c r="R53" s="93"/>
    </row>
    <row r="54" spans="1:18" ht="15.75">
      <c r="A54" s="125">
        <f t="shared" si="22"/>
        <v>37226</v>
      </c>
      <c r="B54" s="121">
        <v>0.31254429482636426</v>
      </c>
      <c r="C54" s="63">
        <f t="shared" si="12"/>
        <v>0.15</v>
      </c>
      <c r="D54" s="63">
        <f t="shared" si="13"/>
        <v>0.275</v>
      </c>
      <c r="E54" s="63">
        <f t="shared" si="14"/>
        <v>0.375</v>
      </c>
      <c r="F54" s="63">
        <f t="shared" si="15"/>
        <v>0.45</v>
      </c>
      <c r="G54" s="63">
        <v>0.5</v>
      </c>
      <c r="H54" s="64"/>
      <c r="I54" s="54">
        <f t="shared" si="16"/>
        <v>0.04688164422395464</v>
      </c>
      <c r="J54" s="51">
        <f t="shared" si="17"/>
        <v>0.08594968107725018</v>
      </c>
      <c r="K54" s="51">
        <f t="shared" si="18"/>
        <v>0.1172041105598866</v>
      </c>
      <c r="L54" s="51">
        <f t="shared" si="19"/>
        <v>0.14064493267186393</v>
      </c>
      <c r="M54" s="55">
        <f t="shared" si="20"/>
        <v>0.15627214741318213</v>
      </c>
      <c r="N54" s="126">
        <f t="shared" si="11"/>
        <v>5.566265060240964</v>
      </c>
      <c r="O54" s="120" t="s">
        <v>109</v>
      </c>
      <c r="P54" s="93">
        <f>SUM(M50:M54)-4*Q49</f>
        <v>1.136125740779686</v>
      </c>
      <c r="Q54" s="93">
        <f t="shared" si="21"/>
        <v>0.022324592487597446</v>
      </c>
      <c r="R54" s="93"/>
    </row>
    <row r="55" spans="1:18" ht="15.75">
      <c r="A55" s="125">
        <f t="shared" si="22"/>
        <v>37233</v>
      </c>
      <c r="B55" s="121">
        <v>0.25859386255582767</v>
      </c>
      <c r="C55" s="63">
        <f t="shared" si="12"/>
        <v>0.12</v>
      </c>
      <c r="D55" s="63">
        <f t="shared" si="13"/>
        <v>0.22000000000000003</v>
      </c>
      <c r="E55" s="63">
        <f t="shared" si="14"/>
        <v>0.30000000000000004</v>
      </c>
      <c r="F55" s="63">
        <f t="shared" si="15"/>
        <v>0.36000000000000004</v>
      </c>
      <c r="G55" s="63">
        <v>0.4</v>
      </c>
      <c r="H55" s="64"/>
      <c r="I55" s="54">
        <f t="shared" si="16"/>
        <v>0.031031263506699318</v>
      </c>
      <c r="J55" s="51">
        <f t="shared" si="17"/>
        <v>0.05689064976228209</v>
      </c>
      <c r="K55" s="51">
        <f t="shared" si="18"/>
        <v>0.07757815876674831</v>
      </c>
      <c r="L55" s="51">
        <f t="shared" si="19"/>
        <v>0.09309379052009797</v>
      </c>
      <c r="M55" s="55">
        <f t="shared" si="20"/>
        <v>0.10343754502233107</v>
      </c>
      <c r="N55" s="126">
        <f t="shared" si="11"/>
        <v>3.6843468417477925</v>
      </c>
      <c r="O55" s="120"/>
      <c r="P55" s="93"/>
      <c r="Q55" s="93">
        <f t="shared" si="21"/>
        <v>0.014776792146047296</v>
      </c>
      <c r="R55" s="93"/>
    </row>
    <row r="56" spans="1:18" ht="15.75">
      <c r="A56" s="125">
        <f t="shared" si="22"/>
        <v>37240</v>
      </c>
      <c r="B56" s="121">
        <v>0.24135427171877255</v>
      </c>
      <c r="C56" s="63">
        <f t="shared" si="12"/>
        <v>0.12</v>
      </c>
      <c r="D56" s="63">
        <f t="shared" si="13"/>
        <v>0.22000000000000003</v>
      </c>
      <c r="E56" s="63">
        <f t="shared" si="14"/>
        <v>0.30000000000000004</v>
      </c>
      <c r="F56" s="63">
        <f t="shared" si="15"/>
        <v>0.36000000000000004</v>
      </c>
      <c r="G56" s="63">
        <v>0.4</v>
      </c>
      <c r="H56" s="64"/>
      <c r="I56" s="54">
        <f t="shared" si="16"/>
        <v>0.028962512606252704</v>
      </c>
      <c r="J56" s="51">
        <f t="shared" si="17"/>
        <v>0.05309793977812997</v>
      </c>
      <c r="K56" s="51">
        <f t="shared" si="18"/>
        <v>0.07240628151563178</v>
      </c>
      <c r="L56" s="51">
        <f t="shared" si="19"/>
        <v>0.08688753781875813</v>
      </c>
      <c r="M56" s="55">
        <f t="shared" si="20"/>
        <v>0.09654170868750903</v>
      </c>
      <c r="N56" s="126">
        <f t="shared" si="11"/>
        <v>3.4387237189646074</v>
      </c>
      <c r="O56" s="120"/>
      <c r="P56" s="93"/>
      <c r="Q56" s="93">
        <f t="shared" si="21"/>
        <v>0.013791672669644147</v>
      </c>
      <c r="R56" s="93"/>
    </row>
    <row r="57" spans="1:18" ht="15.75">
      <c r="A57" s="125">
        <f t="shared" si="22"/>
        <v>37247</v>
      </c>
      <c r="B57" s="121">
        <v>0.21549488546318973</v>
      </c>
      <c r="C57" s="63">
        <f t="shared" si="12"/>
        <v>0.12</v>
      </c>
      <c r="D57" s="63">
        <f t="shared" si="13"/>
        <v>0.22000000000000003</v>
      </c>
      <c r="E57" s="63">
        <f t="shared" si="14"/>
        <v>0.30000000000000004</v>
      </c>
      <c r="F57" s="63">
        <f t="shared" si="15"/>
        <v>0.36000000000000004</v>
      </c>
      <c r="G57" s="63">
        <v>0.4</v>
      </c>
      <c r="H57" s="64"/>
      <c r="I57" s="54">
        <f t="shared" si="16"/>
        <v>0.02585938625558277</v>
      </c>
      <c r="J57" s="51">
        <f t="shared" si="17"/>
        <v>0.04740887480190175</v>
      </c>
      <c r="K57" s="51">
        <f t="shared" si="18"/>
        <v>0.06464846563895693</v>
      </c>
      <c r="L57" s="51">
        <f t="shared" si="19"/>
        <v>0.07757815876674831</v>
      </c>
      <c r="M57" s="55">
        <f t="shared" si="20"/>
        <v>0.0861979541852759</v>
      </c>
      <c r="N57" s="126">
        <f t="shared" si="11"/>
        <v>3.0702890347898277</v>
      </c>
      <c r="O57" s="120"/>
      <c r="P57" s="93"/>
      <c r="Q57" s="93">
        <f t="shared" si="21"/>
        <v>0.012313993455039415</v>
      </c>
      <c r="R57" s="93"/>
    </row>
    <row r="58" spans="1:18" ht="16.5" thickBot="1">
      <c r="A58" s="125">
        <f t="shared" si="22"/>
        <v>37254</v>
      </c>
      <c r="B58" s="121">
        <v>0.18101570378907936</v>
      </c>
      <c r="C58" s="63">
        <f t="shared" si="12"/>
        <v>0.12</v>
      </c>
      <c r="D58" s="63">
        <f t="shared" si="13"/>
        <v>0.22000000000000003</v>
      </c>
      <c r="E58" s="63">
        <f t="shared" si="14"/>
        <v>0.30000000000000004</v>
      </c>
      <c r="F58" s="63">
        <f t="shared" si="15"/>
        <v>0.36000000000000004</v>
      </c>
      <c r="G58" s="63">
        <v>0.4</v>
      </c>
      <c r="H58" s="64"/>
      <c r="I58" s="59">
        <f t="shared" si="16"/>
        <v>0.021721884454689522</v>
      </c>
      <c r="J58" s="56">
        <f t="shared" si="17"/>
        <v>0.03982345483359746</v>
      </c>
      <c r="K58" s="56">
        <f t="shared" si="18"/>
        <v>0.05430471113672382</v>
      </c>
      <c r="L58" s="56">
        <f t="shared" si="19"/>
        <v>0.06516565336406857</v>
      </c>
      <c r="M58" s="60">
        <f t="shared" si="20"/>
        <v>0.07240628151563175</v>
      </c>
      <c r="N58" s="126">
        <f t="shared" si="11"/>
        <v>2.5790427892234544</v>
      </c>
      <c r="O58" s="120" t="s">
        <v>110</v>
      </c>
      <c r="P58" s="93">
        <v>0.47</v>
      </c>
      <c r="Q58" s="93">
        <f t="shared" si="21"/>
        <v>0.010343754502233108</v>
      </c>
      <c r="R58" s="93"/>
    </row>
    <row r="59" spans="1:16" ht="15.75" thickBot="1">
      <c r="A59" s="127" t="s">
        <v>2</v>
      </c>
      <c r="B59" s="61">
        <f>SUM(B7:B58)</f>
        <v>53.36869555148189</v>
      </c>
      <c r="C59" s="62"/>
      <c r="D59" s="62"/>
      <c r="E59" s="62"/>
      <c r="F59" s="62"/>
      <c r="G59" s="63"/>
      <c r="H59" s="64"/>
      <c r="I59" s="128">
        <f>SUM(I7:I58)</f>
        <v>14.569673033792045</v>
      </c>
      <c r="J59" s="129">
        <f>SUM(J7:J58)</f>
        <v>26.71106722861875</v>
      </c>
      <c r="K59" s="129">
        <f>SUM(K7:K58)</f>
        <v>36.42418258448012</v>
      </c>
      <c r="L59" s="129">
        <f>SUM(L7:L58)</f>
        <v>43.70901910137615</v>
      </c>
      <c r="M59" s="60">
        <f>SUM(M7:M58)</f>
        <v>48.565576779306824</v>
      </c>
      <c r="N59" s="130"/>
      <c r="O59" s="21"/>
      <c r="P59" s="21">
        <f>SUM(P7:P58)</f>
        <v>48.61987480636029</v>
      </c>
    </row>
  </sheetData>
  <sheetProtection/>
  <mergeCells count="1">
    <mergeCell ref="I5:M5"/>
  </mergeCells>
  <printOptions gridLines="1" horizontalCentered="1" verticalCentered="1"/>
  <pageMargins left="0.25" right="0.25" top="0" bottom="0" header="0.37" footer="0.32"/>
  <pageSetup horizontalDpi="600" verticalDpi="600" orientation="portrait" r:id="rId2"/>
  <rowBreaks count="1" manualBreakCount="1">
    <brk id="3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7.140625" style="4" customWidth="1"/>
    <col min="2" max="2" width="8.00390625" style="5" customWidth="1"/>
    <col min="3" max="3" width="0.42578125" style="5" customWidth="1"/>
    <col min="4" max="6" width="8.421875" style="5" hidden="1" customWidth="1"/>
    <col min="7" max="7" width="7.7109375" style="7" customWidth="1"/>
    <col min="8" max="8" width="1.57421875" style="4" customWidth="1"/>
    <col min="9" max="12" width="11.28125" style="5" customWidth="1"/>
    <col min="13" max="13" width="11.28125" style="8" customWidth="1"/>
    <col min="14" max="14" width="8.00390625" style="8" customWidth="1"/>
    <col min="15" max="16384" width="9.140625" style="4" customWidth="1"/>
  </cols>
  <sheetData>
    <row r="1" spans="1:7" ht="12.75">
      <c r="A1" s="6"/>
      <c r="B1" s="8"/>
      <c r="G1" s="9"/>
    </row>
    <row r="3" ht="13.5" thickBot="1"/>
    <row r="4" spans="1:14" ht="15.75" thickBot="1">
      <c r="A4" s="91" t="s">
        <v>43</v>
      </c>
      <c r="B4" s="84"/>
      <c r="C4" s="84"/>
      <c r="D4" s="84"/>
      <c r="E4" s="84"/>
      <c r="F4" s="84"/>
      <c r="G4" s="14"/>
      <c r="H4" s="85"/>
      <c r="I4" s="84"/>
      <c r="J4" s="84"/>
      <c r="K4" s="84"/>
      <c r="L4" s="84"/>
      <c r="M4" s="86"/>
      <c r="N4" s="29"/>
    </row>
    <row r="5" spans="1:14" ht="53.25" customHeight="1">
      <c r="A5" s="87"/>
      <c r="B5" s="88" t="s">
        <v>44</v>
      </c>
      <c r="C5" s="29"/>
      <c r="D5" s="29"/>
      <c r="E5" s="29"/>
      <c r="F5" s="29"/>
      <c r="G5" s="80" t="s">
        <v>47</v>
      </c>
      <c r="H5" s="71"/>
      <c r="I5" s="206" t="s">
        <v>93</v>
      </c>
      <c r="J5" s="207"/>
      <c r="K5" s="207"/>
      <c r="L5" s="207"/>
      <c r="M5" s="208"/>
      <c r="N5" s="119"/>
    </row>
    <row r="6" spans="1:16" ht="23.25" thickBot="1">
      <c r="A6" s="89" t="s">
        <v>1</v>
      </c>
      <c r="B6" s="81" t="s">
        <v>45</v>
      </c>
      <c r="C6" s="30" t="s">
        <v>3</v>
      </c>
      <c r="D6" s="30" t="s">
        <v>4</v>
      </c>
      <c r="E6" s="30" t="s">
        <v>5</v>
      </c>
      <c r="F6" s="30" t="s">
        <v>6</v>
      </c>
      <c r="G6" s="82" t="s">
        <v>46</v>
      </c>
      <c r="H6" s="83"/>
      <c r="I6" s="90" t="s">
        <v>48</v>
      </c>
      <c r="J6" s="81" t="s">
        <v>10</v>
      </c>
      <c r="K6" s="81" t="s">
        <v>11</v>
      </c>
      <c r="L6" s="81" t="s">
        <v>12</v>
      </c>
      <c r="M6" s="21" t="s">
        <v>7</v>
      </c>
      <c r="N6" s="120"/>
      <c r="O6" s="70" t="s">
        <v>92</v>
      </c>
      <c r="P6" s="70" t="s">
        <v>91</v>
      </c>
    </row>
    <row r="7" spans="1:16" ht="12">
      <c r="A7" s="2">
        <v>36897</v>
      </c>
      <c r="B7" s="3">
        <v>0.21410459587955624</v>
      </c>
      <c r="C7" s="3">
        <f>G7*0.4</f>
        <v>0.4</v>
      </c>
      <c r="D7" s="3">
        <f>G7*0.55</f>
        <v>0.55</v>
      </c>
      <c r="E7" s="3">
        <f>G7*0.75</f>
        <v>0.75</v>
      </c>
      <c r="F7" s="3">
        <f>G7*0.9</f>
        <v>0.9</v>
      </c>
      <c r="G7" s="22">
        <v>1</v>
      </c>
      <c r="H7" s="1"/>
      <c r="I7" s="13">
        <f>$B7*C7</f>
        <v>0.0856418383518225</v>
      </c>
      <c r="J7" s="14">
        <f>$B7*D7</f>
        <v>0.11775752773375595</v>
      </c>
      <c r="K7" s="14">
        <f>$B7*E7</f>
        <v>0.1605784469096672</v>
      </c>
      <c r="L7" s="14">
        <f>$B7*F7</f>
        <v>0.19269413629160062</v>
      </c>
      <c r="M7" s="15">
        <f>$B7*G7</f>
        <v>0.21410459587955624</v>
      </c>
      <c r="N7" s="120"/>
      <c r="O7" s="22"/>
      <c r="P7" s="93">
        <f>M7/7</f>
        <v>0.030586370839936605</v>
      </c>
    </row>
    <row r="8" spans="1:16" ht="12">
      <c r="A8" s="2">
        <f aca="true" t="shared" si="0" ref="A8:A58">A7+7</f>
        <v>36904</v>
      </c>
      <c r="B8" s="3">
        <v>0.27527733755942946</v>
      </c>
      <c r="C8" s="3">
        <f aca="true" t="shared" si="1" ref="C8:C58">G8*0.4</f>
        <v>0.4</v>
      </c>
      <c r="D8" s="3">
        <f aca="true" t="shared" si="2" ref="D8:D58">G8*0.55</f>
        <v>0.55</v>
      </c>
      <c r="E8" s="3">
        <f aca="true" t="shared" si="3" ref="E8:E58">G8*0.75</f>
        <v>0.75</v>
      </c>
      <c r="F8" s="3">
        <f aca="true" t="shared" si="4" ref="F8:F58">G8*0.9</f>
        <v>0.9</v>
      </c>
      <c r="G8" s="22">
        <v>1</v>
      </c>
      <c r="H8" s="1"/>
      <c r="I8" s="16">
        <f aca="true" t="shared" si="5" ref="I8:I58">$B8*C8</f>
        <v>0.11011093502377178</v>
      </c>
      <c r="J8" s="17">
        <f aca="true" t="shared" si="6" ref="J8:J58">$B8*D8</f>
        <v>0.15140253565768622</v>
      </c>
      <c r="K8" s="17">
        <f aca="true" t="shared" si="7" ref="K8:K58">$B8*E8</f>
        <v>0.20645800316957208</v>
      </c>
      <c r="L8" s="17">
        <f aca="true" t="shared" si="8" ref="L8:L58">$B8*F8</f>
        <v>0.2477496038034865</v>
      </c>
      <c r="M8" s="18">
        <f aca="true" t="shared" si="9" ref="M8:M58">$B8*G8</f>
        <v>0.27527733755942946</v>
      </c>
      <c r="N8" s="120"/>
      <c r="O8" s="93"/>
      <c r="P8" s="93">
        <f aca="true" t="shared" si="10" ref="P8:P58">M8/7</f>
        <v>0.03932533393706135</v>
      </c>
    </row>
    <row r="9" spans="1:16" ht="12">
      <c r="A9" s="2">
        <f t="shared" si="0"/>
        <v>36911</v>
      </c>
      <c r="B9" s="3">
        <v>0.2956682514527205</v>
      </c>
      <c r="C9" s="3">
        <f t="shared" si="1"/>
        <v>0.4</v>
      </c>
      <c r="D9" s="3">
        <f t="shared" si="2"/>
        <v>0.55</v>
      </c>
      <c r="E9" s="3">
        <f t="shared" si="3"/>
        <v>0.75</v>
      </c>
      <c r="F9" s="3">
        <f t="shared" si="4"/>
        <v>0.9</v>
      </c>
      <c r="G9" s="22">
        <v>1</v>
      </c>
      <c r="H9" s="1"/>
      <c r="I9" s="16">
        <f t="shared" si="5"/>
        <v>0.11826730058108821</v>
      </c>
      <c r="J9" s="17">
        <f t="shared" si="6"/>
        <v>0.1626175382989963</v>
      </c>
      <c r="K9" s="17">
        <f t="shared" si="7"/>
        <v>0.2217511885895404</v>
      </c>
      <c r="L9" s="17">
        <f t="shared" si="8"/>
        <v>0.2661014263074485</v>
      </c>
      <c r="M9" s="18">
        <f t="shared" si="9"/>
        <v>0.2956682514527205</v>
      </c>
      <c r="N9" s="120"/>
      <c r="O9" s="93"/>
      <c r="P9" s="93">
        <f t="shared" si="10"/>
        <v>0.04223832163610293</v>
      </c>
    </row>
    <row r="10" spans="1:16" ht="12">
      <c r="A10" s="2">
        <f t="shared" si="0"/>
        <v>36918</v>
      </c>
      <c r="B10" s="3">
        <v>0.3568409931325937</v>
      </c>
      <c r="C10" s="3">
        <f t="shared" si="1"/>
        <v>0.4</v>
      </c>
      <c r="D10" s="3">
        <f t="shared" si="2"/>
        <v>0.55</v>
      </c>
      <c r="E10" s="3">
        <f t="shared" si="3"/>
        <v>0.75</v>
      </c>
      <c r="F10" s="3">
        <f t="shared" si="4"/>
        <v>0.9</v>
      </c>
      <c r="G10" s="22">
        <v>1</v>
      </c>
      <c r="H10" s="1"/>
      <c r="I10" s="16">
        <f t="shared" si="5"/>
        <v>0.1427363972530375</v>
      </c>
      <c r="J10" s="17">
        <f t="shared" si="6"/>
        <v>0.19626254622292655</v>
      </c>
      <c r="K10" s="17">
        <f t="shared" si="7"/>
        <v>0.26763074484944527</v>
      </c>
      <c r="L10" s="17">
        <f t="shared" si="8"/>
        <v>0.3211568938193343</v>
      </c>
      <c r="M10" s="18">
        <f t="shared" si="9"/>
        <v>0.3568409931325937</v>
      </c>
      <c r="N10" s="120" t="s">
        <v>100</v>
      </c>
      <c r="O10" s="93">
        <f>SUM(M7:M10)</f>
        <v>1.1418911780243</v>
      </c>
      <c r="P10" s="93">
        <f t="shared" si="10"/>
        <v>0.05097728473322767</v>
      </c>
    </row>
    <row r="11" spans="1:16" ht="12">
      <c r="A11" s="2">
        <f t="shared" si="0"/>
        <v>36925</v>
      </c>
      <c r="B11" s="3">
        <v>0.41801373481246695</v>
      </c>
      <c r="C11" s="3">
        <f t="shared" si="1"/>
        <v>0.4</v>
      </c>
      <c r="D11" s="3">
        <f t="shared" si="2"/>
        <v>0.55</v>
      </c>
      <c r="E11" s="3">
        <f t="shared" si="3"/>
        <v>0.75</v>
      </c>
      <c r="F11" s="3">
        <f t="shared" si="4"/>
        <v>0.9</v>
      </c>
      <c r="G11" s="22">
        <v>1</v>
      </c>
      <c r="H11" s="1"/>
      <c r="I11" s="16">
        <f t="shared" si="5"/>
        <v>0.1672054939249868</v>
      </c>
      <c r="J11" s="17">
        <f t="shared" si="6"/>
        <v>0.22990755414685685</v>
      </c>
      <c r="K11" s="17">
        <f t="shared" si="7"/>
        <v>0.3135103011093502</v>
      </c>
      <c r="L11" s="17">
        <f t="shared" si="8"/>
        <v>0.37621236133122027</v>
      </c>
      <c r="M11" s="18">
        <f t="shared" si="9"/>
        <v>0.41801373481246695</v>
      </c>
      <c r="N11" s="120"/>
      <c r="O11" s="93"/>
      <c r="P11" s="93">
        <f t="shared" si="10"/>
        <v>0.05971624783035242</v>
      </c>
    </row>
    <row r="12" spans="1:16" ht="12">
      <c r="A12" s="2">
        <f t="shared" si="0"/>
        <v>36932</v>
      </c>
      <c r="B12" s="3">
        <v>0.46899101954569467</v>
      </c>
      <c r="C12" s="3">
        <f t="shared" si="1"/>
        <v>0.4</v>
      </c>
      <c r="D12" s="3">
        <f t="shared" si="2"/>
        <v>0.55</v>
      </c>
      <c r="E12" s="3">
        <f t="shared" si="3"/>
        <v>0.75</v>
      </c>
      <c r="F12" s="3">
        <f t="shared" si="4"/>
        <v>0.9</v>
      </c>
      <c r="G12" s="22">
        <v>1</v>
      </c>
      <c r="H12" s="1"/>
      <c r="I12" s="16">
        <f t="shared" si="5"/>
        <v>0.18759640781827788</v>
      </c>
      <c r="J12" s="17">
        <f t="shared" si="6"/>
        <v>0.25794506075013207</v>
      </c>
      <c r="K12" s="17">
        <f t="shared" si="7"/>
        <v>0.35174326465927097</v>
      </c>
      <c r="L12" s="17">
        <f t="shared" si="8"/>
        <v>0.4220919175911252</v>
      </c>
      <c r="M12" s="18">
        <f t="shared" si="9"/>
        <v>0.46899101954569467</v>
      </c>
      <c r="N12" s="120"/>
      <c r="O12" s="93"/>
      <c r="P12" s="93">
        <f t="shared" si="10"/>
        <v>0.06699871707795638</v>
      </c>
    </row>
    <row r="13" spans="1:16" ht="12">
      <c r="A13" s="2">
        <f t="shared" si="0"/>
        <v>36939</v>
      </c>
      <c r="B13" s="3">
        <v>0.5403592181722134</v>
      </c>
      <c r="C13" s="3">
        <f t="shared" si="1"/>
        <v>0.4</v>
      </c>
      <c r="D13" s="3">
        <f t="shared" si="2"/>
        <v>0.55</v>
      </c>
      <c r="E13" s="3">
        <f t="shared" si="3"/>
        <v>0.75</v>
      </c>
      <c r="F13" s="3">
        <f t="shared" si="4"/>
        <v>0.9</v>
      </c>
      <c r="G13" s="22">
        <v>1</v>
      </c>
      <c r="H13" s="1"/>
      <c r="I13" s="16">
        <f t="shared" si="5"/>
        <v>0.2161436872688854</v>
      </c>
      <c r="J13" s="17">
        <f t="shared" si="6"/>
        <v>0.2971975699947174</v>
      </c>
      <c r="K13" s="17">
        <f t="shared" si="7"/>
        <v>0.4052694136291601</v>
      </c>
      <c r="L13" s="17">
        <f t="shared" si="8"/>
        <v>0.4863232963549921</v>
      </c>
      <c r="M13" s="18">
        <f t="shared" si="9"/>
        <v>0.5403592181722134</v>
      </c>
      <c r="N13" s="120"/>
      <c r="O13" s="93"/>
      <c r="P13" s="93">
        <f t="shared" si="10"/>
        <v>0.07719417402460192</v>
      </c>
    </row>
    <row r="14" spans="1:16" ht="12">
      <c r="A14" s="2">
        <f t="shared" si="0"/>
        <v>36946</v>
      </c>
      <c r="B14" s="3">
        <v>0.6117274167987321</v>
      </c>
      <c r="C14" s="3">
        <f t="shared" si="1"/>
        <v>0.4</v>
      </c>
      <c r="D14" s="3">
        <f t="shared" si="2"/>
        <v>0.55</v>
      </c>
      <c r="E14" s="3">
        <f t="shared" si="3"/>
        <v>0.75</v>
      </c>
      <c r="F14" s="3">
        <f t="shared" si="4"/>
        <v>0.9</v>
      </c>
      <c r="G14" s="22">
        <v>1</v>
      </c>
      <c r="H14" s="1"/>
      <c r="I14" s="16">
        <f t="shared" si="5"/>
        <v>0.24469096671949286</v>
      </c>
      <c r="J14" s="17">
        <f t="shared" si="6"/>
        <v>0.3364500792393027</v>
      </c>
      <c r="K14" s="17">
        <f t="shared" si="7"/>
        <v>0.4587955625990491</v>
      </c>
      <c r="L14" s="17">
        <f t="shared" si="8"/>
        <v>0.5505546751188589</v>
      </c>
      <c r="M14" s="18">
        <f t="shared" si="9"/>
        <v>0.6117274167987321</v>
      </c>
      <c r="N14" s="120"/>
      <c r="O14" s="93"/>
      <c r="P14" s="93">
        <f t="shared" si="10"/>
        <v>0.08738963097124744</v>
      </c>
    </row>
    <row r="15" spans="1:16" ht="12">
      <c r="A15" s="2">
        <f t="shared" si="0"/>
        <v>36953</v>
      </c>
      <c r="B15" s="3">
        <v>0.6932910723718965</v>
      </c>
      <c r="C15" s="3">
        <f t="shared" si="1"/>
        <v>0.40727272727272734</v>
      </c>
      <c r="D15" s="3">
        <f t="shared" si="2"/>
        <v>0.5600000000000002</v>
      </c>
      <c r="E15" s="3">
        <f t="shared" si="3"/>
        <v>0.7636363636363637</v>
      </c>
      <c r="F15" s="3">
        <f t="shared" si="4"/>
        <v>0.9163636363636365</v>
      </c>
      <c r="G15" s="22">
        <v>1.0181818181818183</v>
      </c>
      <c r="H15" s="1"/>
      <c r="I15" s="16">
        <f t="shared" si="5"/>
        <v>0.28235854583873604</v>
      </c>
      <c r="J15" s="17">
        <f t="shared" si="6"/>
        <v>0.38824300052826216</v>
      </c>
      <c r="K15" s="17">
        <f t="shared" si="7"/>
        <v>0.52942227344763</v>
      </c>
      <c r="L15" s="17">
        <f t="shared" si="8"/>
        <v>0.6353067281371562</v>
      </c>
      <c r="M15" s="18">
        <f t="shared" si="9"/>
        <v>0.7058963645968401</v>
      </c>
      <c r="N15" s="120" t="s">
        <v>101</v>
      </c>
      <c r="O15" s="93">
        <f>SUM(M11:M15)-2*P15</f>
        <v>2.54330307832685</v>
      </c>
      <c r="P15" s="93">
        <f t="shared" si="10"/>
        <v>0.10084233779954858</v>
      </c>
    </row>
    <row r="16" spans="1:16" ht="12">
      <c r="A16" s="2">
        <f t="shared" si="0"/>
        <v>36960</v>
      </c>
      <c r="B16" s="3">
        <v>0.7850501848917063</v>
      </c>
      <c r="C16" s="3">
        <f t="shared" si="1"/>
        <v>0.4129032258064516</v>
      </c>
      <c r="D16" s="3">
        <f t="shared" si="2"/>
        <v>0.567741935483871</v>
      </c>
      <c r="E16" s="3">
        <f t="shared" si="3"/>
        <v>0.7741935483870968</v>
      </c>
      <c r="F16" s="3">
        <f t="shared" si="4"/>
        <v>0.9290322580645162</v>
      </c>
      <c r="G16" s="22">
        <v>1.032258064516129</v>
      </c>
      <c r="H16" s="1"/>
      <c r="I16" s="16">
        <f t="shared" si="5"/>
        <v>0.32414975376173677</v>
      </c>
      <c r="J16" s="17">
        <f t="shared" si="6"/>
        <v>0.4457059114223881</v>
      </c>
      <c r="K16" s="17">
        <f t="shared" si="7"/>
        <v>0.6077807883032564</v>
      </c>
      <c r="L16" s="17">
        <f t="shared" si="8"/>
        <v>0.7293369459639079</v>
      </c>
      <c r="M16" s="18">
        <f t="shared" si="9"/>
        <v>0.810374384404342</v>
      </c>
      <c r="N16" s="120"/>
      <c r="O16" s="93"/>
      <c r="P16" s="93">
        <f t="shared" si="10"/>
        <v>0.11576776920062028</v>
      </c>
    </row>
    <row r="17" spans="1:16" ht="12">
      <c r="A17" s="2">
        <f t="shared" si="0"/>
        <v>36967</v>
      </c>
      <c r="B17" s="3">
        <v>0.8870047543581616</v>
      </c>
      <c r="C17" s="3">
        <f t="shared" si="1"/>
        <v>0.4171428571428572</v>
      </c>
      <c r="D17" s="3">
        <f t="shared" si="2"/>
        <v>0.5735714285714286</v>
      </c>
      <c r="E17" s="3">
        <f t="shared" si="3"/>
        <v>0.7821428571428573</v>
      </c>
      <c r="F17" s="3">
        <f t="shared" si="4"/>
        <v>0.9385714285714286</v>
      </c>
      <c r="G17" s="22">
        <v>1.042857142857143</v>
      </c>
      <c r="H17" s="1"/>
      <c r="I17" s="16">
        <f t="shared" si="5"/>
        <v>0.37000769753226176</v>
      </c>
      <c r="J17" s="17">
        <f t="shared" si="6"/>
        <v>0.5087605841068599</v>
      </c>
      <c r="K17" s="17">
        <f t="shared" si="7"/>
        <v>0.6937644328729908</v>
      </c>
      <c r="L17" s="17">
        <f t="shared" si="8"/>
        <v>0.8325173194475889</v>
      </c>
      <c r="M17" s="18">
        <f t="shared" si="9"/>
        <v>0.9250192438306544</v>
      </c>
      <c r="N17" s="120"/>
      <c r="O17" s="93"/>
      <c r="P17" s="93">
        <f t="shared" si="10"/>
        <v>0.13214560626152205</v>
      </c>
    </row>
    <row r="18" spans="1:16" ht="12">
      <c r="A18" s="2">
        <f t="shared" si="0"/>
        <v>36974</v>
      </c>
      <c r="B18" s="3">
        <v>0.9787638668779715</v>
      </c>
      <c r="C18" s="3">
        <f t="shared" si="1"/>
        <v>0.420253164556962</v>
      </c>
      <c r="D18" s="3">
        <f t="shared" si="2"/>
        <v>0.5778481012658228</v>
      </c>
      <c r="E18" s="3">
        <f t="shared" si="3"/>
        <v>0.7879746835443037</v>
      </c>
      <c r="F18" s="3">
        <f t="shared" si="4"/>
        <v>0.9455696202531644</v>
      </c>
      <c r="G18" s="22">
        <v>1.050632911392405</v>
      </c>
      <c r="H18" s="1"/>
      <c r="I18" s="16">
        <f t="shared" si="5"/>
        <v>0.4113286124094766</v>
      </c>
      <c r="J18" s="17">
        <f t="shared" si="6"/>
        <v>0.5655768420630303</v>
      </c>
      <c r="K18" s="17">
        <f t="shared" si="7"/>
        <v>0.7712411482677686</v>
      </c>
      <c r="L18" s="17">
        <f t="shared" si="8"/>
        <v>0.9254893779213222</v>
      </c>
      <c r="M18" s="18">
        <f t="shared" si="9"/>
        <v>1.0283215310236913</v>
      </c>
      <c r="N18" s="120"/>
      <c r="O18" s="93"/>
      <c r="P18" s="93">
        <f t="shared" si="10"/>
        <v>0.14690307586052734</v>
      </c>
    </row>
    <row r="19" spans="1:16" ht="12">
      <c r="A19" s="2">
        <f t="shared" si="0"/>
        <v>36981</v>
      </c>
      <c r="B19" s="3">
        <v>1.0909138932910725</v>
      </c>
      <c r="C19" s="3">
        <f t="shared" si="1"/>
        <v>0.4325581395348838</v>
      </c>
      <c r="D19" s="3">
        <f t="shared" si="2"/>
        <v>0.5947674418604653</v>
      </c>
      <c r="E19" s="3">
        <f t="shared" si="3"/>
        <v>0.8110465116279071</v>
      </c>
      <c r="F19" s="3">
        <f t="shared" si="4"/>
        <v>0.9732558139534885</v>
      </c>
      <c r="G19" s="22">
        <v>1.0813953488372094</v>
      </c>
      <c r="H19" s="1"/>
      <c r="I19" s="16">
        <f t="shared" si="5"/>
        <v>0.47188368407474307</v>
      </c>
      <c r="J19" s="17">
        <f t="shared" si="6"/>
        <v>0.6488400656027717</v>
      </c>
      <c r="K19" s="17">
        <f t="shared" si="7"/>
        <v>0.8847819076401432</v>
      </c>
      <c r="L19" s="17">
        <f t="shared" si="8"/>
        <v>1.0617382891681717</v>
      </c>
      <c r="M19" s="18">
        <f t="shared" si="9"/>
        <v>1.1797092101868576</v>
      </c>
      <c r="N19" s="120" t="s">
        <v>102</v>
      </c>
      <c r="O19" s="93">
        <f>SUM(M16:M19)+2*P15</f>
        <v>4.145109045044642</v>
      </c>
      <c r="P19" s="93">
        <f t="shared" si="10"/>
        <v>0.16852988716955108</v>
      </c>
    </row>
    <row r="20" spans="1:16" ht="12">
      <c r="A20" s="2">
        <f t="shared" si="0"/>
        <v>36988</v>
      </c>
      <c r="B20" s="3">
        <v>1.1928684627575277</v>
      </c>
      <c r="C20" s="3">
        <f t="shared" si="1"/>
        <v>0.43404255319148943</v>
      </c>
      <c r="D20" s="3">
        <f t="shared" si="2"/>
        <v>0.596808510638298</v>
      </c>
      <c r="E20" s="3">
        <f t="shared" si="3"/>
        <v>0.8138297872340426</v>
      </c>
      <c r="F20" s="3">
        <f t="shared" si="4"/>
        <v>0.9765957446808512</v>
      </c>
      <c r="G20" s="22">
        <v>1.0851063829787235</v>
      </c>
      <c r="H20" s="1"/>
      <c r="I20" s="16">
        <f t="shared" si="5"/>
        <v>0.5177556731968844</v>
      </c>
      <c r="J20" s="17">
        <f t="shared" si="6"/>
        <v>0.7119140506457161</v>
      </c>
      <c r="K20" s="17">
        <f t="shared" si="7"/>
        <v>0.9707918872441582</v>
      </c>
      <c r="L20" s="17">
        <f t="shared" si="8"/>
        <v>1.16495026469299</v>
      </c>
      <c r="M20" s="18">
        <f t="shared" si="9"/>
        <v>1.294389182992211</v>
      </c>
      <c r="N20" s="120"/>
      <c r="O20" s="93"/>
      <c r="P20" s="93">
        <f t="shared" si="10"/>
        <v>0.1849127404274587</v>
      </c>
    </row>
    <row r="21" spans="1:16" ht="12">
      <c r="A21" s="2">
        <f t="shared" si="0"/>
        <v>36995</v>
      </c>
      <c r="B21" s="3">
        <v>1.315213946117274</v>
      </c>
      <c r="C21" s="3">
        <f t="shared" si="1"/>
        <v>0.43846153846153846</v>
      </c>
      <c r="D21" s="3">
        <f t="shared" si="2"/>
        <v>0.6028846153846154</v>
      </c>
      <c r="E21" s="3">
        <f t="shared" si="3"/>
        <v>0.8221153846153846</v>
      </c>
      <c r="F21" s="3">
        <f t="shared" si="4"/>
        <v>0.9865384615384615</v>
      </c>
      <c r="G21" s="22">
        <v>1.096153846153846</v>
      </c>
      <c r="H21" s="1"/>
      <c r="I21" s="16">
        <f t="shared" si="5"/>
        <v>0.576670730220651</v>
      </c>
      <c r="J21" s="17">
        <f t="shared" si="6"/>
        <v>0.792922254053395</v>
      </c>
      <c r="K21" s="17">
        <f t="shared" si="7"/>
        <v>1.0812576191637204</v>
      </c>
      <c r="L21" s="17">
        <f t="shared" si="8"/>
        <v>1.2975091429964645</v>
      </c>
      <c r="M21" s="18">
        <f t="shared" si="9"/>
        <v>1.4416768255516272</v>
      </c>
      <c r="N21" s="120"/>
      <c r="O21" s="93"/>
      <c r="P21" s="93">
        <f t="shared" si="10"/>
        <v>0.20595383222166103</v>
      </c>
    </row>
    <row r="22" spans="1:16" ht="12">
      <c r="A22" s="2">
        <f t="shared" si="0"/>
        <v>37002</v>
      </c>
      <c r="B22" s="3">
        <v>1.4069730586370839</v>
      </c>
      <c r="C22" s="3">
        <f t="shared" si="1"/>
        <v>0.4464285714285714</v>
      </c>
      <c r="D22" s="3">
        <f t="shared" si="2"/>
        <v>0.6138392857142857</v>
      </c>
      <c r="E22" s="3">
        <f t="shared" si="3"/>
        <v>0.8370535714285713</v>
      </c>
      <c r="F22" s="3">
        <f t="shared" si="4"/>
        <v>1.0044642857142856</v>
      </c>
      <c r="G22" s="22">
        <v>1.1160714285714284</v>
      </c>
      <c r="H22" s="1"/>
      <c r="I22" s="16">
        <f t="shared" si="5"/>
        <v>0.628112972605841</v>
      </c>
      <c r="J22" s="17">
        <f t="shared" si="6"/>
        <v>0.8636553373330313</v>
      </c>
      <c r="K22" s="17">
        <f t="shared" si="7"/>
        <v>1.1777118236359516</v>
      </c>
      <c r="L22" s="17">
        <f t="shared" si="8"/>
        <v>1.4132541883631422</v>
      </c>
      <c r="M22" s="18">
        <f t="shared" si="9"/>
        <v>1.5702824315146022</v>
      </c>
      <c r="N22" s="120"/>
      <c r="O22" s="93"/>
      <c r="P22" s="93">
        <f t="shared" si="10"/>
        <v>0.22432606164494318</v>
      </c>
    </row>
    <row r="23" spans="1:16" ht="12">
      <c r="A23" s="2">
        <f t="shared" si="0"/>
        <v>37009</v>
      </c>
      <c r="B23" s="3">
        <v>1.4885367142102481</v>
      </c>
      <c r="C23" s="3">
        <f t="shared" si="1"/>
        <v>0.44628099173553726</v>
      </c>
      <c r="D23" s="3">
        <f t="shared" si="2"/>
        <v>0.6136363636363638</v>
      </c>
      <c r="E23" s="3">
        <f t="shared" si="3"/>
        <v>0.8367768595041323</v>
      </c>
      <c r="F23" s="3">
        <f t="shared" si="4"/>
        <v>1.0041322314049588</v>
      </c>
      <c r="G23" s="22">
        <v>1.115702479338843</v>
      </c>
      <c r="H23" s="1"/>
      <c r="I23" s="16">
        <f t="shared" si="5"/>
        <v>0.6643056410525076</v>
      </c>
      <c r="J23" s="17">
        <f t="shared" si="6"/>
        <v>0.9134202564471979</v>
      </c>
      <c r="K23" s="17">
        <f t="shared" si="7"/>
        <v>1.2455730769734514</v>
      </c>
      <c r="L23" s="17">
        <f t="shared" si="8"/>
        <v>1.4946876923681418</v>
      </c>
      <c r="M23" s="18">
        <f t="shared" si="9"/>
        <v>1.6607641026312687</v>
      </c>
      <c r="N23" s="120" t="s">
        <v>103</v>
      </c>
      <c r="O23" s="93">
        <f>SUM(M20:M23)+2*P24</f>
        <v>6.491450328517193</v>
      </c>
      <c r="P23" s="93">
        <f t="shared" si="10"/>
        <v>0.2372520146616098</v>
      </c>
    </row>
    <row r="24" spans="1:16" ht="12">
      <c r="A24" s="2">
        <f t="shared" si="0"/>
        <v>37016</v>
      </c>
      <c r="B24" s="3">
        <v>1.5904912836767036</v>
      </c>
      <c r="C24" s="3">
        <f t="shared" si="1"/>
        <v>0.4615384615384615</v>
      </c>
      <c r="D24" s="3">
        <f t="shared" si="2"/>
        <v>0.6346153846153846</v>
      </c>
      <c r="E24" s="3">
        <f t="shared" si="3"/>
        <v>0.8653846153846153</v>
      </c>
      <c r="F24" s="3">
        <f t="shared" si="4"/>
        <v>1.0384615384615383</v>
      </c>
      <c r="G24" s="22">
        <v>1.1538461538461537</v>
      </c>
      <c r="H24" s="1"/>
      <c r="I24" s="16">
        <f t="shared" si="5"/>
        <v>0.7340729001584785</v>
      </c>
      <c r="J24" s="17">
        <f t="shared" si="6"/>
        <v>1.009350237717908</v>
      </c>
      <c r="K24" s="17">
        <f t="shared" si="7"/>
        <v>1.3763866877971471</v>
      </c>
      <c r="L24" s="17">
        <f t="shared" si="8"/>
        <v>1.6516640253565766</v>
      </c>
      <c r="M24" s="18">
        <f t="shared" si="9"/>
        <v>1.8351822503961963</v>
      </c>
      <c r="N24" s="120"/>
      <c r="O24" s="93"/>
      <c r="P24" s="93">
        <f t="shared" si="10"/>
        <v>0.26216889291374235</v>
      </c>
    </row>
    <row r="25" spans="1:16" ht="12">
      <c r="A25" s="2">
        <f t="shared" si="0"/>
        <v>37023</v>
      </c>
      <c r="B25" s="3">
        <v>1.6618594823032222</v>
      </c>
      <c r="C25" s="3">
        <f t="shared" si="1"/>
        <v>0.4615384615384615</v>
      </c>
      <c r="D25" s="3">
        <f t="shared" si="2"/>
        <v>0.6346153846153846</v>
      </c>
      <c r="E25" s="3">
        <f t="shared" si="3"/>
        <v>0.8653846153846153</v>
      </c>
      <c r="F25" s="3">
        <f t="shared" si="4"/>
        <v>1.0384615384615383</v>
      </c>
      <c r="G25" s="22">
        <v>1.1538461538461537</v>
      </c>
      <c r="H25" s="1"/>
      <c r="I25" s="16">
        <f t="shared" si="5"/>
        <v>0.7670120687553332</v>
      </c>
      <c r="J25" s="17">
        <f t="shared" si="6"/>
        <v>1.0546415945385832</v>
      </c>
      <c r="K25" s="17">
        <f t="shared" si="7"/>
        <v>1.4381476289162498</v>
      </c>
      <c r="L25" s="17">
        <f t="shared" si="8"/>
        <v>1.7257771546994998</v>
      </c>
      <c r="M25" s="18">
        <f t="shared" si="9"/>
        <v>1.917530171888333</v>
      </c>
      <c r="N25" s="120"/>
      <c r="O25" s="93"/>
      <c r="P25" s="93">
        <f t="shared" si="10"/>
        <v>0.2739328816983333</v>
      </c>
    </row>
    <row r="26" spans="1:16" ht="12">
      <c r="A26" s="2">
        <f t="shared" si="0"/>
        <v>37030</v>
      </c>
      <c r="B26" s="3">
        <v>1.733227680929741</v>
      </c>
      <c r="C26" s="3">
        <f t="shared" si="1"/>
        <v>0.4615384615384615</v>
      </c>
      <c r="D26" s="3">
        <f t="shared" si="2"/>
        <v>0.6346153846153846</v>
      </c>
      <c r="E26" s="3">
        <f t="shared" si="3"/>
        <v>0.8653846153846153</v>
      </c>
      <c r="F26" s="3">
        <f t="shared" si="4"/>
        <v>1.0384615384615383</v>
      </c>
      <c r="G26" s="22">
        <v>1.1538461538461537</v>
      </c>
      <c r="H26" s="1"/>
      <c r="I26" s="16">
        <f t="shared" si="5"/>
        <v>0.7999512373521882</v>
      </c>
      <c r="J26" s="17">
        <f t="shared" si="6"/>
        <v>1.0999329513592586</v>
      </c>
      <c r="K26" s="17">
        <f t="shared" si="7"/>
        <v>1.4999085700353527</v>
      </c>
      <c r="L26" s="17">
        <f t="shared" si="8"/>
        <v>1.7998902840424231</v>
      </c>
      <c r="M26" s="18">
        <f t="shared" si="9"/>
        <v>1.9998780933804703</v>
      </c>
      <c r="N26" s="120"/>
      <c r="O26" s="93"/>
      <c r="P26" s="93">
        <f t="shared" si="10"/>
        <v>0.2856968704829243</v>
      </c>
    </row>
    <row r="27" spans="1:16" ht="12">
      <c r="A27" s="2">
        <f t="shared" si="0"/>
        <v>37037</v>
      </c>
      <c r="B27" s="3">
        <v>1.7842049656629688</v>
      </c>
      <c r="C27" s="3">
        <f t="shared" si="1"/>
        <v>0.4615384615384615</v>
      </c>
      <c r="D27" s="3">
        <f t="shared" si="2"/>
        <v>0.6346153846153846</v>
      </c>
      <c r="E27" s="3">
        <f t="shared" si="3"/>
        <v>0.8653846153846153</v>
      </c>
      <c r="F27" s="3">
        <f t="shared" si="4"/>
        <v>1.0384615384615383</v>
      </c>
      <c r="G27" s="22">
        <v>1.1538461538461537</v>
      </c>
      <c r="H27" s="1"/>
      <c r="I27" s="16">
        <f t="shared" si="5"/>
        <v>0.8234792149213702</v>
      </c>
      <c r="J27" s="17">
        <f t="shared" si="6"/>
        <v>1.132283920516884</v>
      </c>
      <c r="K27" s="17">
        <f t="shared" si="7"/>
        <v>1.5440235279775691</v>
      </c>
      <c r="L27" s="17">
        <f t="shared" si="8"/>
        <v>1.8528282335730828</v>
      </c>
      <c r="M27" s="18">
        <f t="shared" si="9"/>
        <v>2.0586980373034254</v>
      </c>
      <c r="N27" s="120"/>
      <c r="O27" s="93"/>
      <c r="P27" s="93">
        <f t="shared" si="10"/>
        <v>0.29409971961477505</v>
      </c>
    </row>
    <row r="28" spans="1:16" ht="12">
      <c r="A28" s="2">
        <f t="shared" si="0"/>
        <v>37044</v>
      </c>
      <c r="B28" s="3">
        <v>1.8453777073428421</v>
      </c>
      <c r="C28" s="3">
        <f t="shared" si="1"/>
        <v>0.4615384615384615</v>
      </c>
      <c r="D28" s="3">
        <f t="shared" si="2"/>
        <v>0.6346153846153846</v>
      </c>
      <c r="E28" s="3">
        <f t="shared" si="3"/>
        <v>0.8653846153846153</v>
      </c>
      <c r="F28" s="3">
        <f t="shared" si="4"/>
        <v>1.0384615384615383</v>
      </c>
      <c r="G28" s="22">
        <v>1.1538461538461537</v>
      </c>
      <c r="H28" s="1"/>
      <c r="I28" s="16">
        <f t="shared" si="5"/>
        <v>0.8517127880043887</v>
      </c>
      <c r="J28" s="17">
        <f t="shared" si="6"/>
        <v>1.1711050835060344</v>
      </c>
      <c r="K28" s="17">
        <f t="shared" si="7"/>
        <v>1.5969614775082286</v>
      </c>
      <c r="L28" s="17">
        <f t="shared" si="8"/>
        <v>1.9163537730098743</v>
      </c>
      <c r="M28" s="18">
        <f t="shared" si="9"/>
        <v>2.1292819700109713</v>
      </c>
      <c r="N28" s="120" t="s">
        <v>17</v>
      </c>
      <c r="O28" s="93">
        <f>SUM(M24:M28)-2*P28-2*P23</f>
        <v>8.857700216510187</v>
      </c>
      <c r="P28" s="93">
        <f t="shared" si="10"/>
        <v>0.3041831385729959</v>
      </c>
    </row>
    <row r="29" spans="1:16" ht="12">
      <c r="A29" s="2">
        <f t="shared" si="0"/>
        <v>37051</v>
      </c>
      <c r="B29" s="3">
        <v>1.8555731642894875</v>
      </c>
      <c r="C29" s="3">
        <f t="shared" si="1"/>
        <v>0.4615384615384615</v>
      </c>
      <c r="D29" s="3">
        <f t="shared" si="2"/>
        <v>0.6346153846153846</v>
      </c>
      <c r="E29" s="3">
        <f t="shared" si="3"/>
        <v>0.8653846153846153</v>
      </c>
      <c r="F29" s="3">
        <f t="shared" si="4"/>
        <v>1.0384615384615383</v>
      </c>
      <c r="G29" s="22">
        <v>1.1538461538461537</v>
      </c>
      <c r="H29" s="1"/>
      <c r="I29" s="16">
        <f t="shared" si="5"/>
        <v>0.856418383518225</v>
      </c>
      <c r="J29" s="17">
        <f t="shared" si="6"/>
        <v>1.1775752773375594</v>
      </c>
      <c r="K29" s="17">
        <f t="shared" si="7"/>
        <v>1.6057844690966718</v>
      </c>
      <c r="L29" s="17">
        <f t="shared" si="8"/>
        <v>1.926941362916006</v>
      </c>
      <c r="M29" s="18">
        <f t="shared" si="9"/>
        <v>2.141045958795562</v>
      </c>
      <c r="N29" s="120"/>
      <c r="O29" s="93"/>
      <c r="P29" s="93">
        <f t="shared" si="10"/>
        <v>0.305863708399366</v>
      </c>
    </row>
    <row r="30" spans="1:16" ht="12">
      <c r="A30" s="2">
        <f t="shared" si="0"/>
        <v>37058</v>
      </c>
      <c r="B30" s="3">
        <v>1.8963549920760698</v>
      </c>
      <c r="C30" s="3">
        <f t="shared" si="1"/>
        <v>0.4615384615384615</v>
      </c>
      <c r="D30" s="3">
        <f t="shared" si="2"/>
        <v>0.6346153846153846</v>
      </c>
      <c r="E30" s="3">
        <f t="shared" si="3"/>
        <v>0.8653846153846153</v>
      </c>
      <c r="F30" s="3">
        <f t="shared" si="4"/>
        <v>1.0384615384615383</v>
      </c>
      <c r="G30" s="22">
        <v>1.1538461538461537</v>
      </c>
      <c r="H30" s="1"/>
      <c r="I30" s="16">
        <f t="shared" si="5"/>
        <v>0.8752407655735707</v>
      </c>
      <c r="J30" s="17">
        <f t="shared" si="6"/>
        <v>1.2034560526636597</v>
      </c>
      <c r="K30" s="17">
        <f t="shared" si="7"/>
        <v>1.6410764354504448</v>
      </c>
      <c r="L30" s="17">
        <f t="shared" si="8"/>
        <v>1.9692917225405338</v>
      </c>
      <c r="M30" s="18">
        <f t="shared" si="9"/>
        <v>2.1881019139339264</v>
      </c>
      <c r="N30" s="120"/>
      <c r="O30" s="93"/>
      <c r="P30" s="93">
        <f t="shared" si="10"/>
        <v>0.31258598770484664</v>
      </c>
    </row>
    <row r="31" spans="1:16" ht="12">
      <c r="A31" s="2">
        <f t="shared" si="0"/>
        <v>37065</v>
      </c>
      <c r="B31" s="3">
        <v>1.9269413629160062</v>
      </c>
      <c r="C31" s="3">
        <f t="shared" si="1"/>
        <v>0.4615384615384615</v>
      </c>
      <c r="D31" s="3">
        <f t="shared" si="2"/>
        <v>0.6346153846153846</v>
      </c>
      <c r="E31" s="3">
        <f t="shared" si="3"/>
        <v>0.8653846153846153</v>
      </c>
      <c r="F31" s="3">
        <f t="shared" si="4"/>
        <v>1.0384615384615383</v>
      </c>
      <c r="G31" s="22">
        <v>1.1538461538461537</v>
      </c>
      <c r="H31" s="1"/>
      <c r="I31" s="16">
        <f t="shared" si="5"/>
        <v>0.8893575521150797</v>
      </c>
      <c r="J31" s="17">
        <f t="shared" si="6"/>
        <v>1.2228666341582346</v>
      </c>
      <c r="K31" s="17">
        <f t="shared" si="7"/>
        <v>1.6675454102157745</v>
      </c>
      <c r="L31" s="17">
        <f t="shared" si="8"/>
        <v>2.001054492258929</v>
      </c>
      <c r="M31" s="18">
        <f t="shared" si="9"/>
        <v>2.2233938802876994</v>
      </c>
      <c r="N31" s="120"/>
      <c r="O31" s="93"/>
      <c r="P31" s="93">
        <f t="shared" si="10"/>
        <v>0.31762769718395706</v>
      </c>
    </row>
    <row r="32" spans="1:16" ht="12">
      <c r="A32" s="2">
        <f t="shared" si="0"/>
        <v>37072</v>
      </c>
      <c r="B32" s="3">
        <v>1.9269413629160062</v>
      </c>
      <c r="C32" s="3">
        <f t="shared" si="1"/>
        <v>0.4615384615384615</v>
      </c>
      <c r="D32" s="3">
        <f t="shared" si="2"/>
        <v>0.6346153846153846</v>
      </c>
      <c r="E32" s="3">
        <f t="shared" si="3"/>
        <v>0.8653846153846153</v>
      </c>
      <c r="F32" s="3">
        <f t="shared" si="4"/>
        <v>1.0384615384615383</v>
      </c>
      <c r="G32" s="22">
        <v>1.1538461538461537</v>
      </c>
      <c r="H32" s="1"/>
      <c r="I32" s="16">
        <f t="shared" si="5"/>
        <v>0.8893575521150797</v>
      </c>
      <c r="J32" s="17">
        <f t="shared" si="6"/>
        <v>1.2228666341582346</v>
      </c>
      <c r="K32" s="17">
        <f t="shared" si="7"/>
        <v>1.6675454102157745</v>
      </c>
      <c r="L32" s="17">
        <f t="shared" si="8"/>
        <v>2.001054492258929</v>
      </c>
      <c r="M32" s="18">
        <f t="shared" si="9"/>
        <v>2.2233938802876994</v>
      </c>
      <c r="N32" s="120" t="s">
        <v>104</v>
      </c>
      <c r="O32" s="93">
        <f>SUM(M29:M32)+2*P28</f>
        <v>9.384301910450878</v>
      </c>
      <c r="P32" s="93">
        <f t="shared" si="10"/>
        <v>0.31762769718395706</v>
      </c>
    </row>
    <row r="33" spans="1:16" ht="12">
      <c r="A33" s="2">
        <f t="shared" si="0"/>
        <v>37079</v>
      </c>
      <c r="B33" s="3">
        <v>1.9269413629160062</v>
      </c>
      <c r="C33" s="3">
        <f t="shared" si="1"/>
        <v>0.4615384615384615</v>
      </c>
      <c r="D33" s="3">
        <f t="shared" si="2"/>
        <v>0.6346153846153846</v>
      </c>
      <c r="E33" s="3">
        <f t="shared" si="3"/>
        <v>0.8653846153846153</v>
      </c>
      <c r="F33" s="3">
        <f t="shared" si="4"/>
        <v>1.0384615384615383</v>
      </c>
      <c r="G33" s="22">
        <v>1.1538461538461537</v>
      </c>
      <c r="H33" s="1"/>
      <c r="I33" s="16">
        <f t="shared" si="5"/>
        <v>0.8893575521150797</v>
      </c>
      <c r="J33" s="17">
        <f t="shared" si="6"/>
        <v>1.2228666341582346</v>
      </c>
      <c r="K33" s="17">
        <f t="shared" si="7"/>
        <v>1.6675454102157745</v>
      </c>
      <c r="L33" s="17">
        <f t="shared" si="8"/>
        <v>2.001054492258929</v>
      </c>
      <c r="M33" s="18">
        <f t="shared" si="9"/>
        <v>2.2233938802876994</v>
      </c>
      <c r="N33" s="120"/>
      <c r="O33" s="93"/>
      <c r="P33" s="93">
        <f t="shared" si="10"/>
        <v>0.31762769718395706</v>
      </c>
    </row>
    <row r="34" spans="1:16" ht="12">
      <c r="A34" s="2">
        <f t="shared" si="0"/>
        <v>37086</v>
      </c>
      <c r="B34" s="3">
        <v>1.9269413629160062</v>
      </c>
      <c r="C34" s="3">
        <f t="shared" si="1"/>
        <v>0.4615384615384615</v>
      </c>
      <c r="D34" s="3">
        <f t="shared" si="2"/>
        <v>0.6346153846153846</v>
      </c>
      <c r="E34" s="3">
        <f t="shared" si="3"/>
        <v>0.8653846153846153</v>
      </c>
      <c r="F34" s="3">
        <f t="shared" si="4"/>
        <v>1.0384615384615383</v>
      </c>
      <c r="G34" s="22">
        <v>1.1538461538461537</v>
      </c>
      <c r="H34" s="1"/>
      <c r="I34" s="16">
        <f t="shared" si="5"/>
        <v>0.8893575521150797</v>
      </c>
      <c r="J34" s="17">
        <f t="shared" si="6"/>
        <v>1.2228666341582346</v>
      </c>
      <c r="K34" s="17">
        <f t="shared" si="7"/>
        <v>1.6675454102157745</v>
      </c>
      <c r="L34" s="17">
        <f t="shared" si="8"/>
        <v>2.001054492258929</v>
      </c>
      <c r="M34" s="18">
        <f t="shared" si="9"/>
        <v>2.2233938802876994</v>
      </c>
      <c r="N34" s="120"/>
      <c r="O34" s="93"/>
      <c r="P34" s="93">
        <f t="shared" si="10"/>
        <v>0.31762769718395706</v>
      </c>
    </row>
    <row r="35" spans="1:16" ht="12">
      <c r="A35" s="2">
        <f t="shared" si="0"/>
        <v>37093</v>
      </c>
      <c r="B35" s="3">
        <v>1.8555731642894875</v>
      </c>
      <c r="C35" s="3">
        <f t="shared" si="1"/>
        <v>0.4615384615384615</v>
      </c>
      <c r="D35" s="3">
        <f t="shared" si="2"/>
        <v>0.6346153846153846</v>
      </c>
      <c r="E35" s="3">
        <f t="shared" si="3"/>
        <v>0.8653846153846153</v>
      </c>
      <c r="F35" s="3">
        <f t="shared" si="4"/>
        <v>1.0384615384615383</v>
      </c>
      <c r="G35" s="22">
        <v>1.1538461538461537</v>
      </c>
      <c r="H35" s="1"/>
      <c r="I35" s="16">
        <f t="shared" si="5"/>
        <v>0.856418383518225</v>
      </c>
      <c r="J35" s="17">
        <f t="shared" si="6"/>
        <v>1.1775752773375594</v>
      </c>
      <c r="K35" s="17">
        <f t="shared" si="7"/>
        <v>1.6057844690966718</v>
      </c>
      <c r="L35" s="17">
        <f t="shared" si="8"/>
        <v>1.926941362916006</v>
      </c>
      <c r="M35" s="18">
        <f t="shared" si="9"/>
        <v>2.141045958795562</v>
      </c>
      <c r="N35" s="120"/>
      <c r="O35" s="93"/>
      <c r="P35" s="93">
        <f t="shared" si="10"/>
        <v>0.305863708399366</v>
      </c>
    </row>
    <row r="36" spans="1:16" ht="12">
      <c r="A36" s="2">
        <f t="shared" si="0"/>
        <v>37100</v>
      </c>
      <c r="B36" s="3">
        <v>1.8555731642894875</v>
      </c>
      <c r="C36" s="3">
        <f t="shared" si="1"/>
        <v>0.44000000000000006</v>
      </c>
      <c r="D36" s="3">
        <f t="shared" si="2"/>
        <v>0.6050000000000001</v>
      </c>
      <c r="E36" s="3">
        <f t="shared" si="3"/>
        <v>0.8250000000000001</v>
      </c>
      <c r="F36" s="3">
        <f t="shared" si="4"/>
        <v>0.9900000000000001</v>
      </c>
      <c r="G36" s="22">
        <v>1.1</v>
      </c>
      <c r="H36" s="1"/>
      <c r="I36" s="16">
        <f t="shared" si="5"/>
        <v>0.8164521922873746</v>
      </c>
      <c r="J36" s="17">
        <f t="shared" si="6"/>
        <v>1.1226217643951402</v>
      </c>
      <c r="K36" s="17">
        <f t="shared" si="7"/>
        <v>1.5308478605388274</v>
      </c>
      <c r="L36" s="17">
        <f t="shared" si="8"/>
        <v>1.837017432646593</v>
      </c>
      <c r="M36" s="18">
        <f t="shared" si="9"/>
        <v>2.0411304807184365</v>
      </c>
      <c r="N36" s="120" t="s">
        <v>105</v>
      </c>
      <c r="O36" s="93">
        <f>SUM(M33:M36)+3*P37</f>
        <v>9.317157543987971</v>
      </c>
      <c r="P36" s="93">
        <f t="shared" si="10"/>
        <v>0.29159006867406234</v>
      </c>
    </row>
    <row r="37" spans="1:16" ht="12">
      <c r="A37" s="2">
        <f t="shared" si="0"/>
        <v>37107</v>
      </c>
      <c r="B37" s="3">
        <v>1.7842049656629688</v>
      </c>
      <c r="C37" s="3">
        <f t="shared" si="1"/>
        <v>0.36000000000000004</v>
      </c>
      <c r="D37" s="3">
        <f t="shared" si="2"/>
        <v>0.49500000000000005</v>
      </c>
      <c r="E37" s="3">
        <f t="shared" si="3"/>
        <v>0.675</v>
      </c>
      <c r="F37" s="3">
        <f t="shared" si="4"/>
        <v>0.81</v>
      </c>
      <c r="G37" s="22">
        <v>0.9</v>
      </c>
      <c r="H37" s="1"/>
      <c r="I37" s="16">
        <f t="shared" si="5"/>
        <v>0.6423137876386689</v>
      </c>
      <c r="J37" s="17">
        <f t="shared" si="6"/>
        <v>0.8831814580031696</v>
      </c>
      <c r="K37" s="17">
        <f t="shared" si="7"/>
        <v>1.204338351822504</v>
      </c>
      <c r="L37" s="17">
        <f t="shared" si="8"/>
        <v>1.445206022187005</v>
      </c>
      <c r="M37" s="18">
        <f t="shared" si="9"/>
        <v>1.605784469096672</v>
      </c>
      <c r="N37" s="120"/>
      <c r="O37" s="93"/>
      <c r="P37" s="93">
        <f t="shared" si="10"/>
        <v>0.22939778129952457</v>
      </c>
    </row>
    <row r="38" spans="1:16" ht="12">
      <c r="A38" s="2">
        <f t="shared" si="0"/>
        <v>37114</v>
      </c>
      <c r="B38" s="3">
        <v>1.753618594823032</v>
      </c>
      <c r="C38" s="3">
        <f t="shared" si="1"/>
        <v>0.27999999999999997</v>
      </c>
      <c r="D38" s="3">
        <f t="shared" si="2"/>
        <v>0.385</v>
      </c>
      <c r="E38" s="3">
        <f t="shared" si="3"/>
        <v>0.5249999999999999</v>
      </c>
      <c r="F38" s="3">
        <f t="shared" si="4"/>
        <v>0.63</v>
      </c>
      <c r="G38" s="22">
        <v>0.7</v>
      </c>
      <c r="H38" s="1"/>
      <c r="I38" s="16">
        <f t="shared" si="5"/>
        <v>0.49101320655044894</v>
      </c>
      <c r="J38" s="17">
        <f t="shared" si="6"/>
        <v>0.6751431590068674</v>
      </c>
      <c r="K38" s="17">
        <f t="shared" si="7"/>
        <v>0.9206497622820917</v>
      </c>
      <c r="L38" s="17">
        <f t="shared" si="8"/>
        <v>1.10477971473851</v>
      </c>
      <c r="M38" s="18">
        <f t="shared" si="9"/>
        <v>1.2275330163761224</v>
      </c>
      <c r="N38" s="120"/>
      <c r="O38" s="93"/>
      <c r="P38" s="93">
        <f t="shared" si="10"/>
        <v>0.1753618594823032</v>
      </c>
    </row>
    <row r="39" spans="1:16" ht="12">
      <c r="A39" s="2">
        <f t="shared" si="0"/>
        <v>37121</v>
      </c>
      <c r="B39" s="3">
        <v>1.6924458531431588</v>
      </c>
      <c r="C39" s="3">
        <f t="shared" si="1"/>
        <v>0.24</v>
      </c>
      <c r="D39" s="3">
        <f t="shared" si="2"/>
        <v>0.33</v>
      </c>
      <c r="E39" s="3">
        <f t="shared" si="3"/>
        <v>0.44999999999999996</v>
      </c>
      <c r="F39" s="3">
        <f t="shared" si="4"/>
        <v>0.54</v>
      </c>
      <c r="G39" s="22">
        <v>0.6</v>
      </c>
      <c r="H39" s="1"/>
      <c r="I39" s="16">
        <f t="shared" si="5"/>
        <v>0.4061870047543581</v>
      </c>
      <c r="J39" s="17">
        <f t="shared" si="6"/>
        <v>0.5585071315372424</v>
      </c>
      <c r="K39" s="17">
        <f t="shared" si="7"/>
        <v>0.7616006339144213</v>
      </c>
      <c r="L39" s="17">
        <f t="shared" si="8"/>
        <v>0.9139207606973058</v>
      </c>
      <c r="M39" s="18">
        <f t="shared" si="9"/>
        <v>1.0154675118858951</v>
      </c>
      <c r="N39" s="120"/>
      <c r="O39" s="93"/>
      <c r="P39" s="93">
        <f t="shared" si="10"/>
        <v>0.14506678741227072</v>
      </c>
    </row>
    <row r="40" spans="1:16" ht="12">
      <c r="A40" s="2">
        <f t="shared" si="0"/>
        <v>37128</v>
      </c>
      <c r="B40" s="3">
        <v>1.6210776545166403</v>
      </c>
      <c r="C40" s="3">
        <f t="shared" si="1"/>
        <v>0.38</v>
      </c>
      <c r="D40" s="3">
        <f t="shared" si="2"/>
        <v>0.5225</v>
      </c>
      <c r="E40" s="3">
        <f t="shared" si="3"/>
        <v>0.7124999999999999</v>
      </c>
      <c r="F40" s="3">
        <f t="shared" si="4"/>
        <v>0.855</v>
      </c>
      <c r="G40" s="22">
        <v>0.95</v>
      </c>
      <c r="H40" s="1"/>
      <c r="I40" s="16">
        <f t="shared" si="5"/>
        <v>0.6160095087163233</v>
      </c>
      <c r="J40" s="17">
        <f t="shared" si="6"/>
        <v>0.8470130744849446</v>
      </c>
      <c r="K40" s="17">
        <f t="shared" si="7"/>
        <v>1.155017828843106</v>
      </c>
      <c r="L40" s="17">
        <f t="shared" si="8"/>
        <v>1.3860213946117275</v>
      </c>
      <c r="M40" s="18">
        <f t="shared" si="9"/>
        <v>1.5400237717908083</v>
      </c>
      <c r="N40" s="120"/>
      <c r="O40" s="93"/>
      <c r="P40" s="93">
        <f t="shared" si="10"/>
        <v>0.22000339597011548</v>
      </c>
    </row>
    <row r="41" spans="1:16" ht="12">
      <c r="A41" s="2">
        <f t="shared" si="0"/>
        <v>37135</v>
      </c>
      <c r="B41" s="3">
        <v>1.5497094558901214</v>
      </c>
      <c r="C41" s="3">
        <f t="shared" si="1"/>
        <v>0.4</v>
      </c>
      <c r="D41" s="3">
        <f t="shared" si="2"/>
        <v>0.55</v>
      </c>
      <c r="E41" s="3">
        <f t="shared" si="3"/>
        <v>0.75</v>
      </c>
      <c r="F41" s="3">
        <f t="shared" si="4"/>
        <v>0.9</v>
      </c>
      <c r="G41" s="22">
        <v>1</v>
      </c>
      <c r="H41" s="1"/>
      <c r="I41" s="16">
        <f t="shared" si="5"/>
        <v>0.6198837823560486</v>
      </c>
      <c r="J41" s="17">
        <f t="shared" si="6"/>
        <v>0.8523402007395668</v>
      </c>
      <c r="K41" s="17">
        <f t="shared" si="7"/>
        <v>1.1622820919175911</v>
      </c>
      <c r="L41" s="17">
        <f t="shared" si="8"/>
        <v>1.3947385103011094</v>
      </c>
      <c r="M41" s="18">
        <f t="shared" si="9"/>
        <v>1.5497094558901214</v>
      </c>
      <c r="N41" s="120" t="s">
        <v>106</v>
      </c>
      <c r="O41" s="93">
        <f>SUM(M37:M41)-3*P37-1*P41</f>
        <v>6.028937816013885</v>
      </c>
      <c r="P41" s="93">
        <f t="shared" si="10"/>
        <v>0.2213870651271602</v>
      </c>
    </row>
    <row r="42" spans="1:16" ht="12">
      <c r="A42" s="2">
        <f t="shared" si="0"/>
        <v>37142</v>
      </c>
      <c r="B42" s="3">
        <v>1.4681458003169572</v>
      </c>
      <c r="C42" s="3">
        <f t="shared" si="1"/>
        <v>0.44000000000000006</v>
      </c>
      <c r="D42" s="3">
        <f t="shared" si="2"/>
        <v>0.6050000000000001</v>
      </c>
      <c r="E42" s="3">
        <f t="shared" si="3"/>
        <v>0.8250000000000001</v>
      </c>
      <c r="F42" s="3">
        <f t="shared" si="4"/>
        <v>0.9900000000000001</v>
      </c>
      <c r="G42" s="22">
        <v>1.1</v>
      </c>
      <c r="H42" s="1"/>
      <c r="I42" s="16">
        <f t="shared" si="5"/>
        <v>0.6459841521394613</v>
      </c>
      <c r="J42" s="17">
        <f t="shared" si="6"/>
        <v>0.8882282091917593</v>
      </c>
      <c r="K42" s="17">
        <f t="shared" si="7"/>
        <v>1.2112202852614897</v>
      </c>
      <c r="L42" s="17">
        <f t="shared" si="8"/>
        <v>1.4534643423137878</v>
      </c>
      <c r="M42" s="18">
        <f t="shared" si="9"/>
        <v>1.614960380348653</v>
      </c>
      <c r="N42" s="120"/>
      <c r="O42" s="93"/>
      <c r="P42" s="93">
        <f t="shared" si="10"/>
        <v>0.2307086257640933</v>
      </c>
    </row>
    <row r="43" spans="1:16" ht="12">
      <c r="A43" s="2">
        <f t="shared" si="0"/>
        <v>37149</v>
      </c>
      <c r="B43" s="3">
        <v>1.3967776016904385</v>
      </c>
      <c r="C43" s="3">
        <f t="shared" si="1"/>
        <v>0.44000000000000006</v>
      </c>
      <c r="D43" s="3">
        <f t="shared" si="2"/>
        <v>0.6050000000000001</v>
      </c>
      <c r="E43" s="3">
        <f t="shared" si="3"/>
        <v>0.8250000000000001</v>
      </c>
      <c r="F43" s="3">
        <f t="shared" si="4"/>
        <v>0.9900000000000001</v>
      </c>
      <c r="G43" s="22">
        <v>1.1</v>
      </c>
      <c r="H43" s="1"/>
      <c r="I43" s="16">
        <f t="shared" si="5"/>
        <v>0.614582144743793</v>
      </c>
      <c r="J43" s="17">
        <f t="shared" si="6"/>
        <v>0.8450504490227154</v>
      </c>
      <c r="K43" s="17">
        <f t="shared" si="7"/>
        <v>1.1523415213946118</v>
      </c>
      <c r="L43" s="17">
        <f t="shared" si="8"/>
        <v>1.3828098256735344</v>
      </c>
      <c r="M43" s="18">
        <f t="shared" si="9"/>
        <v>1.5364553618594825</v>
      </c>
      <c r="N43" s="120"/>
      <c r="O43" s="93"/>
      <c r="P43" s="93">
        <f t="shared" si="10"/>
        <v>0.21949362312278323</v>
      </c>
    </row>
    <row r="44" spans="1:16" ht="12">
      <c r="A44" s="2">
        <f t="shared" si="0"/>
        <v>37156</v>
      </c>
      <c r="B44" s="3">
        <v>1.3050184891706287</v>
      </c>
      <c r="C44" s="3">
        <f t="shared" si="1"/>
        <v>0.455045871559633</v>
      </c>
      <c r="D44" s="3">
        <f t="shared" si="2"/>
        <v>0.6256880733944954</v>
      </c>
      <c r="E44" s="3">
        <f t="shared" si="3"/>
        <v>0.8532110091743118</v>
      </c>
      <c r="F44" s="3">
        <f t="shared" si="4"/>
        <v>1.0238532110091743</v>
      </c>
      <c r="G44" s="22">
        <v>1.1376146788990824</v>
      </c>
      <c r="H44" s="1"/>
      <c r="I44" s="16">
        <f t="shared" si="5"/>
        <v>0.5938432758060842</v>
      </c>
      <c r="J44" s="17">
        <f t="shared" si="6"/>
        <v>0.8165345042333658</v>
      </c>
      <c r="K44" s="17">
        <f t="shared" si="7"/>
        <v>1.1134561421364078</v>
      </c>
      <c r="L44" s="17">
        <f t="shared" si="8"/>
        <v>1.3361473705636895</v>
      </c>
      <c r="M44" s="18">
        <f t="shared" si="9"/>
        <v>1.4846081895152103</v>
      </c>
      <c r="N44" s="120"/>
      <c r="O44" s="93"/>
      <c r="P44" s="93">
        <f t="shared" si="10"/>
        <v>0.21208688421645863</v>
      </c>
    </row>
    <row r="45" spans="1:16" ht="12">
      <c r="A45" s="2">
        <f t="shared" si="0"/>
        <v>37163</v>
      </c>
      <c r="B45" s="3">
        <v>1.1928684627575277</v>
      </c>
      <c r="C45" s="3">
        <f t="shared" si="1"/>
        <v>0.44848484848484854</v>
      </c>
      <c r="D45" s="3">
        <f t="shared" si="2"/>
        <v>0.6166666666666668</v>
      </c>
      <c r="E45" s="3">
        <f t="shared" si="3"/>
        <v>0.840909090909091</v>
      </c>
      <c r="F45" s="3">
        <f t="shared" si="4"/>
        <v>1.0090909090909093</v>
      </c>
      <c r="G45" s="22">
        <v>1.1212121212121213</v>
      </c>
      <c r="H45" s="1"/>
      <c r="I45" s="16">
        <f t="shared" si="5"/>
        <v>0.534983431782164</v>
      </c>
      <c r="J45" s="17">
        <f t="shared" si="6"/>
        <v>0.7356022187004756</v>
      </c>
      <c r="K45" s="17">
        <f t="shared" si="7"/>
        <v>1.0030939345915575</v>
      </c>
      <c r="L45" s="17">
        <f t="shared" si="8"/>
        <v>1.203712721509869</v>
      </c>
      <c r="M45" s="18">
        <f t="shared" si="9"/>
        <v>1.33745857945541</v>
      </c>
      <c r="N45" s="120" t="s">
        <v>107</v>
      </c>
      <c r="O45" s="93">
        <f>SUM(M42:M45)+1*P46+1*P41</f>
        <v>6.366153253009561</v>
      </c>
      <c r="P45" s="93">
        <f t="shared" si="10"/>
        <v>0.19106551135077285</v>
      </c>
    </row>
    <row r="46" spans="1:16" ht="12">
      <c r="A46" s="2">
        <f t="shared" si="0"/>
        <v>37170</v>
      </c>
      <c r="B46" s="3">
        <v>1.1011093502377178</v>
      </c>
      <c r="C46" s="3">
        <f t="shared" si="1"/>
        <v>0.43555555555555553</v>
      </c>
      <c r="D46" s="3">
        <f t="shared" si="2"/>
        <v>0.5988888888888889</v>
      </c>
      <c r="E46" s="3">
        <f t="shared" si="3"/>
        <v>0.8166666666666667</v>
      </c>
      <c r="F46" s="3">
        <f t="shared" si="4"/>
        <v>0.98</v>
      </c>
      <c r="G46" s="22">
        <v>1.0888888888888888</v>
      </c>
      <c r="H46" s="1"/>
      <c r="I46" s="16">
        <f t="shared" si="5"/>
        <v>0.479594294770206</v>
      </c>
      <c r="J46" s="17">
        <f t="shared" si="6"/>
        <v>0.6594421553090333</v>
      </c>
      <c r="K46" s="17">
        <f t="shared" si="7"/>
        <v>0.8992393026941362</v>
      </c>
      <c r="L46" s="17">
        <f t="shared" si="8"/>
        <v>1.0790871632329635</v>
      </c>
      <c r="M46" s="18">
        <f t="shared" si="9"/>
        <v>1.1989857369255148</v>
      </c>
      <c r="N46" s="120"/>
      <c r="O46" s="93"/>
      <c r="P46" s="93">
        <f t="shared" si="10"/>
        <v>0.17128367670364497</v>
      </c>
    </row>
    <row r="47" spans="1:16" ht="12">
      <c r="A47" s="2">
        <f t="shared" si="0"/>
        <v>37177</v>
      </c>
      <c r="B47" s="3">
        <v>0.9991547807712625</v>
      </c>
      <c r="C47" s="3">
        <f t="shared" si="1"/>
        <v>0.435</v>
      </c>
      <c r="D47" s="3">
        <f t="shared" si="2"/>
        <v>0.598125</v>
      </c>
      <c r="E47" s="3">
        <f t="shared" si="3"/>
        <v>0.8156249999999999</v>
      </c>
      <c r="F47" s="3">
        <f t="shared" si="4"/>
        <v>0.9787499999999999</v>
      </c>
      <c r="G47" s="22">
        <v>1.0875</v>
      </c>
      <c r="H47" s="1"/>
      <c r="I47" s="16">
        <f t="shared" si="5"/>
        <v>0.4346323296354992</v>
      </c>
      <c r="J47" s="17">
        <f t="shared" si="6"/>
        <v>0.5976194532488114</v>
      </c>
      <c r="K47" s="17">
        <f t="shared" si="7"/>
        <v>0.8149356180665609</v>
      </c>
      <c r="L47" s="17">
        <f t="shared" si="8"/>
        <v>0.9779227416798731</v>
      </c>
      <c r="M47" s="18">
        <f t="shared" si="9"/>
        <v>1.086580824088748</v>
      </c>
      <c r="N47" s="120"/>
      <c r="O47" s="93"/>
      <c r="P47" s="93">
        <f t="shared" si="10"/>
        <v>0.15522583201267828</v>
      </c>
    </row>
    <row r="48" spans="1:16" ht="12">
      <c r="A48" s="2">
        <f t="shared" si="0"/>
        <v>37184</v>
      </c>
      <c r="B48" s="3">
        <v>0.8972002113048072</v>
      </c>
      <c r="C48" s="3">
        <f t="shared" si="1"/>
        <v>0.4228571428571429</v>
      </c>
      <c r="D48" s="3">
        <f t="shared" si="2"/>
        <v>0.5814285714285715</v>
      </c>
      <c r="E48" s="3">
        <f t="shared" si="3"/>
        <v>0.7928571428571429</v>
      </c>
      <c r="F48" s="3">
        <f t="shared" si="4"/>
        <v>0.9514285714285715</v>
      </c>
      <c r="G48" s="22">
        <v>1.0571428571428572</v>
      </c>
      <c r="H48" s="1"/>
      <c r="I48" s="16">
        <f t="shared" si="5"/>
        <v>0.37938751792317565</v>
      </c>
      <c r="J48" s="17">
        <f t="shared" si="6"/>
        <v>0.5216578371443665</v>
      </c>
      <c r="K48" s="17">
        <f t="shared" si="7"/>
        <v>0.7113515961059543</v>
      </c>
      <c r="L48" s="17">
        <f t="shared" si="8"/>
        <v>0.8536219153271453</v>
      </c>
      <c r="M48" s="18">
        <f t="shared" si="9"/>
        <v>0.9484687948079391</v>
      </c>
      <c r="N48" s="120"/>
      <c r="O48" s="93"/>
      <c r="P48" s="93">
        <f t="shared" si="10"/>
        <v>0.13549554211541986</v>
      </c>
    </row>
    <row r="49" spans="1:16" ht="12">
      <c r="A49" s="2">
        <f t="shared" si="0"/>
        <v>37191</v>
      </c>
      <c r="B49" s="3">
        <v>0.7748547279450607</v>
      </c>
      <c r="C49" s="3">
        <f t="shared" si="1"/>
        <v>0.4258064516129033</v>
      </c>
      <c r="D49" s="3">
        <f t="shared" si="2"/>
        <v>0.5854838709677421</v>
      </c>
      <c r="E49" s="3">
        <f t="shared" si="3"/>
        <v>0.7983870967741937</v>
      </c>
      <c r="F49" s="3">
        <f t="shared" si="4"/>
        <v>0.9580645161290324</v>
      </c>
      <c r="G49" s="22">
        <v>1.0645161290322582</v>
      </c>
      <c r="H49" s="1"/>
      <c r="I49" s="16">
        <f t="shared" si="5"/>
        <v>0.32993814222176787</v>
      </c>
      <c r="J49" s="17">
        <f t="shared" si="6"/>
        <v>0.45366494555493087</v>
      </c>
      <c r="K49" s="17">
        <f t="shared" si="7"/>
        <v>0.6186340166658147</v>
      </c>
      <c r="L49" s="17">
        <f t="shared" si="8"/>
        <v>0.7423608199989776</v>
      </c>
      <c r="M49" s="18">
        <f t="shared" si="9"/>
        <v>0.8248453555544196</v>
      </c>
      <c r="N49" s="120" t="s">
        <v>108</v>
      </c>
      <c r="O49" s="93">
        <f>SUM(M46:M49)-1*P45+4*P50</f>
        <v>4.266839552762488</v>
      </c>
      <c r="P49" s="93">
        <f t="shared" si="10"/>
        <v>0.11783505079348852</v>
      </c>
    </row>
    <row r="50" spans="1:16" ht="12">
      <c r="A50" s="2">
        <f t="shared" si="0"/>
        <v>37198</v>
      </c>
      <c r="B50" s="3">
        <v>0.6729001584786054</v>
      </c>
      <c r="C50" s="3">
        <f t="shared" si="1"/>
        <v>0.41509433962264153</v>
      </c>
      <c r="D50" s="3">
        <f t="shared" si="2"/>
        <v>0.5707547169811321</v>
      </c>
      <c r="E50" s="3">
        <f t="shared" si="3"/>
        <v>0.7783018867924528</v>
      </c>
      <c r="F50" s="3">
        <f t="shared" si="4"/>
        <v>0.9339622641509434</v>
      </c>
      <c r="G50" s="22">
        <v>1.0377358490566038</v>
      </c>
      <c r="H50" s="1"/>
      <c r="I50" s="16">
        <f t="shared" si="5"/>
        <v>0.2793170469156475</v>
      </c>
      <c r="J50" s="17">
        <f t="shared" si="6"/>
        <v>0.3840609395090154</v>
      </c>
      <c r="K50" s="17">
        <f t="shared" si="7"/>
        <v>0.5237194629668391</v>
      </c>
      <c r="L50" s="17">
        <f t="shared" si="8"/>
        <v>0.6284633555602069</v>
      </c>
      <c r="M50" s="18">
        <f t="shared" si="9"/>
        <v>0.6982926172891188</v>
      </c>
      <c r="N50" s="120"/>
      <c r="O50" s="93"/>
      <c r="P50" s="93">
        <f t="shared" si="10"/>
        <v>0.09975608818415983</v>
      </c>
    </row>
    <row r="51" spans="1:16" ht="12">
      <c r="A51" s="2">
        <f t="shared" si="0"/>
        <v>37205</v>
      </c>
      <c r="B51" s="3">
        <v>0.5709455890121501</v>
      </c>
      <c r="C51" s="3">
        <f t="shared" si="1"/>
        <v>0.4181818181818182</v>
      </c>
      <c r="D51" s="3">
        <f t="shared" si="2"/>
        <v>0.5750000000000001</v>
      </c>
      <c r="E51" s="3">
        <f t="shared" si="3"/>
        <v>0.7840909090909091</v>
      </c>
      <c r="F51" s="3">
        <f t="shared" si="4"/>
        <v>0.9409090909090909</v>
      </c>
      <c r="G51" s="22">
        <v>1.0454545454545454</v>
      </c>
      <c r="H51" s="1"/>
      <c r="I51" s="16">
        <f t="shared" si="5"/>
        <v>0.23875906449599005</v>
      </c>
      <c r="J51" s="17">
        <f t="shared" si="6"/>
        <v>0.32829371368198634</v>
      </c>
      <c r="K51" s="17">
        <f t="shared" si="7"/>
        <v>0.4476732459299813</v>
      </c>
      <c r="L51" s="17">
        <f t="shared" si="8"/>
        <v>0.5372078951159776</v>
      </c>
      <c r="M51" s="18">
        <f t="shared" si="9"/>
        <v>0.5968976612399751</v>
      </c>
      <c r="N51" s="120"/>
      <c r="O51" s="93"/>
      <c r="P51" s="93">
        <f t="shared" si="10"/>
        <v>0.0852710944628536</v>
      </c>
    </row>
    <row r="52" spans="1:16" ht="12">
      <c r="A52" s="2">
        <f t="shared" si="0"/>
        <v>37212</v>
      </c>
      <c r="B52" s="3">
        <v>0.47918647649234014</v>
      </c>
      <c r="C52" s="3">
        <f t="shared" si="1"/>
        <v>0.4111111111111112</v>
      </c>
      <c r="D52" s="3">
        <f t="shared" si="2"/>
        <v>0.5652777777777779</v>
      </c>
      <c r="E52" s="3">
        <f t="shared" si="3"/>
        <v>0.7708333333333335</v>
      </c>
      <c r="F52" s="3">
        <f t="shared" si="4"/>
        <v>0.9250000000000002</v>
      </c>
      <c r="G52" s="22">
        <v>1.027777777777778</v>
      </c>
      <c r="H52" s="1"/>
      <c r="I52" s="16">
        <f t="shared" si="5"/>
        <v>0.19699888478018432</v>
      </c>
      <c r="J52" s="17">
        <f t="shared" si="6"/>
        <v>0.2708734665727534</v>
      </c>
      <c r="K52" s="17">
        <f t="shared" si="7"/>
        <v>0.3693729089628456</v>
      </c>
      <c r="L52" s="17">
        <f t="shared" si="8"/>
        <v>0.4432474907554147</v>
      </c>
      <c r="M52" s="18">
        <f t="shared" si="9"/>
        <v>0.49249721195046076</v>
      </c>
      <c r="N52" s="120"/>
      <c r="O52" s="93"/>
      <c r="P52" s="93">
        <f t="shared" si="10"/>
        <v>0.07035674456435154</v>
      </c>
    </row>
    <row r="53" spans="1:16" ht="12">
      <c r="A53" s="2">
        <f t="shared" si="0"/>
        <v>37219</v>
      </c>
      <c r="B53" s="3">
        <v>0.41801373481246695</v>
      </c>
      <c r="C53" s="3">
        <f t="shared" si="1"/>
        <v>0.4</v>
      </c>
      <c r="D53" s="3">
        <f t="shared" si="2"/>
        <v>0.55</v>
      </c>
      <c r="E53" s="3">
        <f t="shared" si="3"/>
        <v>0.75</v>
      </c>
      <c r="F53" s="3">
        <f t="shared" si="4"/>
        <v>0.9</v>
      </c>
      <c r="G53" s="22">
        <v>1</v>
      </c>
      <c r="H53" s="1"/>
      <c r="I53" s="16">
        <f t="shared" si="5"/>
        <v>0.1672054939249868</v>
      </c>
      <c r="J53" s="17">
        <f t="shared" si="6"/>
        <v>0.22990755414685685</v>
      </c>
      <c r="K53" s="17">
        <f t="shared" si="7"/>
        <v>0.3135103011093502</v>
      </c>
      <c r="L53" s="17">
        <f t="shared" si="8"/>
        <v>0.37621236133122027</v>
      </c>
      <c r="M53" s="18">
        <f t="shared" si="9"/>
        <v>0.41801373481246695</v>
      </c>
      <c r="N53" s="120"/>
      <c r="O53" s="93"/>
      <c r="P53" s="93">
        <f t="shared" si="10"/>
        <v>0.05971624783035242</v>
      </c>
    </row>
    <row r="54" spans="1:16" ht="12">
      <c r="A54" s="2">
        <f t="shared" si="0"/>
        <v>37226</v>
      </c>
      <c r="B54" s="3">
        <v>0.3568409931325937</v>
      </c>
      <c r="C54" s="3">
        <f t="shared" si="1"/>
        <v>0.4</v>
      </c>
      <c r="D54" s="3">
        <f t="shared" si="2"/>
        <v>0.55</v>
      </c>
      <c r="E54" s="3">
        <f t="shared" si="3"/>
        <v>0.75</v>
      </c>
      <c r="F54" s="3">
        <f t="shared" si="4"/>
        <v>0.9</v>
      </c>
      <c r="G54" s="22">
        <v>1</v>
      </c>
      <c r="H54" s="1"/>
      <c r="I54" s="16">
        <f t="shared" si="5"/>
        <v>0.1427363972530375</v>
      </c>
      <c r="J54" s="17">
        <f t="shared" si="6"/>
        <v>0.19626254622292655</v>
      </c>
      <c r="K54" s="17">
        <f t="shared" si="7"/>
        <v>0.26763074484944527</v>
      </c>
      <c r="L54" s="17">
        <f t="shared" si="8"/>
        <v>0.3211568938193343</v>
      </c>
      <c r="M54" s="18">
        <f t="shared" si="9"/>
        <v>0.3568409931325937</v>
      </c>
      <c r="N54" s="120" t="s">
        <v>109</v>
      </c>
      <c r="O54" s="93">
        <f>SUM(M50:M54)-4*P49</f>
        <v>2.0912020152506607</v>
      </c>
      <c r="P54" s="93">
        <f t="shared" si="10"/>
        <v>0.05097728473322767</v>
      </c>
    </row>
    <row r="55" spans="1:16" ht="12">
      <c r="A55" s="2">
        <f t="shared" si="0"/>
        <v>37233</v>
      </c>
      <c r="B55" s="3">
        <v>0.30586370839936605</v>
      </c>
      <c r="C55" s="3">
        <f t="shared" si="1"/>
        <v>0.4</v>
      </c>
      <c r="D55" s="3">
        <f t="shared" si="2"/>
        <v>0.55</v>
      </c>
      <c r="E55" s="3">
        <f t="shared" si="3"/>
        <v>0.75</v>
      </c>
      <c r="F55" s="3">
        <f t="shared" si="4"/>
        <v>0.9</v>
      </c>
      <c r="G55" s="22">
        <v>1</v>
      </c>
      <c r="H55" s="1"/>
      <c r="I55" s="16">
        <f t="shared" si="5"/>
        <v>0.12234548335974643</v>
      </c>
      <c r="J55" s="17">
        <f t="shared" si="6"/>
        <v>0.16822503961965135</v>
      </c>
      <c r="K55" s="17">
        <f t="shared" si="7"/>
        <v>0.22939778129952454</v>
      </c>
      <c r="L55" s="17">
        <f t="shared" si="8"/>
        <v>0.27527733755942946</v>
      </c>
      <c r="M55" s="18">
        <f t="shared" si="9"/>
        <v>0.30586370839936605</v>
      </c>
      <c r="N55" s="120"/>
      <c r="O55" s="93"/>
      <c r="P55" s="93">
        <f t="shared" si="10"/>
        <v>0.04369481548562372</v>
      </c>
    </row>
    <row r="56" spans="1:16" ht="12">
      <c r="A56" s="2">
        <f t="shared" si="0"/>
        <v>37240</v>
      </c>
      <c r="B56" s="3">
        <v>0.28547279450607504</v>
      </c>
      <c r="C56" s="3">
        <f t="shared" si="1"/>
        <v>0.4</v>
      </c>
      <c r="D56" s="3">
        <f t="shared" si="2"/>
        <v>0.55</v>
      </c>
      <c r="E56" s="3">
        <f t="shared" si="3"/>
        <v>0.75</v>
      </c>
      <c r="F56" s="3">
        <f t="shared" si="4"/>
        <v>0.9</v>
      </c>
      <c r="G56" s="22">
        <v>1</v>
      </c>
      <c r="H56" s="1"/>
      <c r="I56" s="16">
        <f t="shared" si="5"/>
        <v>0.11418911780243002</v>
      </c>
      <c r="J56" s="17">
        <f t="shared" si="6"/>
        <v>0.1570100369783413</v>
      </c>
      <c r="K56" s="17">
        <f t="shared" si="7"/>
        <v>0.21410459587955627</v>
      </c>
      <c r="L56" s="17">
        <f t="shared" si="8"/>
        <v>0.25692551505546757</v>
      </c>
      <c r="M56" s="18">
        <f t="shared" si="9"/>
        <v>0.28547279450607504</v>
      </c>
      <c r="N56" s="120"/>
      <c r="O56" s="93"/>
      <c r="P56" s="93">
        <f t="shared" si="10"/>
        <v>0.040781827786582146</v>
      </c>
    </row>
    <row r="57" spans="1:16" ht="12">
      <c r="A57" s="2">
        <f t="shared" si="0"/>
        <v>37247</v>
      </c>
      <c r="B57" s="3">
        <v>0.2548864236661384</v>
      </c>
      <c r="C57" s="3">
        <f t="shared" si="1"/>
        <v>0.4</v>
      </c>
      <c r="D57" s="3">
        <f t="shared" si="2"/>
        <v>0.55</v>
      </c>
      <c r="E57" s="3">
        <f t="shared" si="3"/>
        <v>0.75</v>
      </c>
      <c r="F57" s="3">
        <f t="shared" si="4"/>
        <v>0.9</v>
      </c>
      <c r="G57" s="22">
        <v>1</v>
      </c>
      <c r="H57" s="1"/>
      <c r="I57" s="16">
        <f t="shared" si="5"/>
        <v>0.10195456946645537</v>
      </c>
      <c r="J57" s="17">
        <f t="shared" si="6"/>
        <v>0.14018753301637613</v>
      </c>
      <c r="K57" s="17">
        <f t="shared" si="7"/>
        <v>0.1911648177496038</v>
      </c>
      <c r="L57" s="17">
        <f t="shared" si="8"/>
        <v>0.22939778129952457</v>
      </c>
      <c r="M57" s="18">
        <f t="shared" si="9"/>
        <v>0.2548864236661384</v>
      </c>
      <c r="N57" s="120"/>
      <c r="O57" s="93"/>
      <c r="P57" s="93">
        <f t="shared" si="10"/>
        <v>0.03641234623801977</v>
      </c>
    </row>
    <row r="58" spans="1:16" ht="12.75" thickBot="1">
      <c r="A58" s="2">
        <f t="shared" si="0"/>
        <v>37254</v>
      </c>
      <c r="B58" s="3">
        <v>0.21410459587955624</v>
      </c>
      <c r="C58" s="3">
        <f t="shared" si="1"/>
        <v>0.3466666666666667</v>
      </c>
      <c r="D58" s="3">
        <f t="shared" si="2"/>
        <v>0.47666666666666674</v>
      </c>
      <c r="E58" s="3">
        <f t="shared" si="3"/>
        <v>0.65</v>
      </c>
      <c r="F58" s="3">
        <f t="shared" si="4"/>
        <v>0.78</v>
      </c>
      <c r="G58" s="22">
        <v>0.8666666666666667</v>
      </c>
      <c r="H58" s="1"/>
      <c r="I58" s="19">
        <f t="shared" si="5"/>
        <v>0.0742229265715795</v>
      </c>
      <c r="J58" s="20">
        <f t="shared" si="6"/>
        <v>0.10205652403592183</v>
      </c>
      <c r="K58" s="20">
        <f t="shared" si="7"/>
        <v>0.13916798732171157</v>
      </c>
      <c r="L58" s="20">
        <f t="shared" si="8"/>
        <v>0.16700158478605387</v>
      </c>
      <c r="M58" s="21">
        <f t="shared" si="9"/>
        <v>0.18555731642894874</v>
      </c>
      <c r="N58" s="120" t="s">
        <v>110</v>
      </c>
      <c r="O58" s="93">
        <f>SUM(M55:M58)+4*P59</f>
        <v>1.0317802430005283</v>
      </c>
      <c r="P58" s="93">
        <f t="shared" si="10"/>
        <v>0.02650818806127839</v>
      </c>
    </row>
    <row r="59" spans="1:15" ht="13.5" thickBot="1">
      <c r="A59" s="6" t="s">
        <v>2</v>
      </c>
      <c r="B59" s="9">
        <f>SUM(B7:B58)</f>
        <v>57.89999999999999</v>
      </c>
      <c r="I59" s="10">
        <f>SUM(I7:I58)</f>
        <v>24.683236043791723</v>
      </c>
      <c r="J59" s="11">
        <f>SUM(J7:J58)</f>
        <v>33.93944956021362</v>
      </c>
      <c r="K59" s="11">
        <f>SUM(K7:K58)</f>
        <v>46.281067582109486</v>
      </c>
      <c r="L59" s="11">
        <f>SUM(L7:L58)</f>
        <v>55.5372810985314</v>
      </c>
      <c r="M59" s="12">
        <f>SUM(M7:M58)</f>
        <v>61.70809010947932</v>
      </c>
      <c r="N59" s="21"/>
      <c r="O59" s="21">
        <f>SUM(O7:O58)</f>
        <v>61.665826180899145</v>
      </c>
    </row>
  </sheetData>
  <sheetProtection/>
  <mergeCells count="1">
    <mergeCell ref="I5:M5"/>
  </mergeCells>
  <printOptions gridLines="1" horizontalCentered="1" verticalCentered="1"/>
  <pageMargins left="0.25" right="0.25" top="0" bottom="0" header="0.37" footer="0.32"/>
  <pageSetup horizontalDpi="600" verticalDpi="600" orientation="portrait" r:id="rId1"/>
  <rowBreaks count="1" manualBreakCount="1">
    <brk id="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4.140625" style="0" customWidth="1"/>
    <col min="2" max="2" width="10.7109375" style="0" customWidth="1"/>
    <col min="3" max="3" width="10.7109375" style="4" customWidth="1"/>
    <col min="4" max="6" width="10.7109375" style="0" customWidth="1"/>
    <col min="7" max="7" width="10.140625" style="0" customWidth="1"/>
    <col min="8" max="8" width="3.00390625" style="0" customWidth="1"/>
    <col min="9" max="13" width="10.421875" style="0" customWidth="1"/>
  </cols>
  <sheetData>
    <row r="1" spans="1:6" ht="30.75" customHeight="1" thickBot="1">
      <c r="A1" s="28"/>
      <c r="B1" s="6"/>
      <c r="C1" s="6"/>
      <c r="D1" s="209" t="s">
        <v>32</v>
      </c>
      <c r="E1" s="209"/>
      <c r="F1" s="209"/>
    </row>
    <row r="2" spans="1:6" ht="36" customHeight="1" thickBot="1">
      <c r="A2" s="213"/>
      <c r="B2" s="6"/>
      <c r="C2" s="72" t="s">
        <v>30</v>
      </c>
      <c r="D2" s="73" t="s">
        <v>27</v>
      </c>
      <c r="E2" s="74" t="s">
        <v>28</v>
      </c>
      <c r="F2" s="75" t="s">
        <v>94</v>
      </c>
    </row>
    <row r="3" spans="1:12" ht="24" customHeight="1">
      <c r="A3" s="213"/>
      <c r="B3" s="6"/>
      <c r="C3" s="76" t="s">
        <v>42</v>
      </c>
      <c r="D3" s="77" t="s">
        <v>25</v>
      </c>
      <c r="E3" s="78" t="s">
        <v>29</v>
      </c>
      <c r="F3" s="79" t="s">
        <v>26</v>
      </c>
      <c r="J3" s="73" t="s">
        <v>27</v>
      </c>
      <c r="K3" s="74" t="s">
        <v>28</v>
      </c>
      <c r="L3" s="75" t="s">
        <v>95</v>
      </c>
    </row>
    <row r="4" spans="2:12" ht="16.5" customHeight="1">
      <c r="B4" s="8" t="s">
        <v>13</v>
      </c>
      <c r="C4" s="92">
        <v>1.1418911780243</v>
      </c>
      <c r="D4" s="28">
        <v>0.34256735340728994</v>
      </c>
      <c r="E4" s="28">
        <v>0.45675647120971996</v>
      </c>
      <c r="F4" s="28">
        <v>1.1418911780243</v>
      </c>
      <c r="I4" s="8" t="s">
        <v>49</v>
      </c>
      <c r="J4" s="28">
        <v>0.34256735340728994</v>
      </c>
      <c r="K4" s="28">
        <v>0.45675647120971996</v>
      </c>
      <c r="L4" s="28">
        <v>1.1418911780243</v>
      </c>
    </row>
    <row r="5" spans="2:12" ht="16.5" customHeight="1">
      <c r="B5" s="8" t="s">
        <v>14</v>
      </c>
      <c r="C5" s="92">
        <v>2.534299298166176</v>
      </c>
      <c r="D5" s="28">
        <v>0.8051556259904912</v>
      </c>
      <c r="E5" s="28">
        <v>1.0236238774432116</v>
      </c>
      <c r="F5" s="28">
        <v>2.54330307832685</v>
      </c>
      <c r="I5" s="8" t="s">
        <v>50</v>
      </c>
      <c r="J5" s="28">
        <v>0.8051556259904912</v>
      </c>
      <c r="K5" s="28">
        <v>1.0236238774432116</v>
      </c>
      <c r="L5" s="28">
        <v>2.54330307832685</v>
      </c>
    </row>
    <row r="6" spans="2:12" ht="16.5" customHeight="1">
      <c r="B6" s="8" t="s">
        <v>15</v>
      </c>
      <c r="C6" s="92">
        <v>3.9398158629537394</v>
      </c>
      <c r="D6" s="28">
        <v>2.3869643925025676</v>
      </c>
      <c r="E6" s="28">
        <v>2.5666283790350186</v>
      </c>
      <c r="F6" s="28">
        <v>4.145109045044642</v>
      </c>
      <c r="I6" s="8" t="s">
        <v>51</v>
      </c>
      <c r="J6" s="28">
        <v>2.3869643925025676</v>
      </c>
      <c r="K6" s="28">
        <v>2.5666283790350186</v>
      </c>
      <c r="L6" s="28">
        <v>4.145109045044642</v>
      </c>
    </row>
    <row r="7" spans="2:12" ht="16.5" customHeight="1">
      <c r="B7" s="8" t="s">
        <v>16</v>
      </c>
      <c r="C7" s="92">
        <v>5.858018262772621</v>
      </c>
      <c r="D7" s="28">
        <v>4.318789564971286</v>
      </c>
      <c r="E7" s="28">
        <v>4.643859747280954</v>
      </c>
      <c r="F7" s="28">
        <v>6.491450328517193</v>
      </c>
      <c r="I7" s="8" t="s">
        <v>52</v>
      </c>
      <c r="J7" s="28">
        <v>4.318789564971286</v>
      </c>
      <c r="K7" s="28">
        <v>4.643859747280954</v>
      </c>
      <c r="L7" s="28">
        <v>6.491450328517193</v>
      </c>
    </row>
    <row r="8" spans="2:12" ht="16.5" customHeight="1">
      <c r="B8" s="8" t="s">
        <v>17</v>
      </c>
      <c r="C8" s="92">
        <v>7.66261414232888</v>
      </c>
      <c r="D8" s="28">
        <v>6.647005578470484</v>
      </c>
      <c r="E8" s="28">
        <v>7.147317826312349</v>
      </c>
      <c r="F8" s="28">
        <v>8.857700216510187</v>
      </c>
      <c r="I8" s="8" t="s">
        <v>53</v>
      </c>
      <c r="J8" s="28">
        <v>6.647005578470484</v>
      </c>
      <c r="K8" s="28">
        <v>7.147317826312349</v>
      </c>
      <c r="L8" s="28">
        <v>8.857700216510187</v>
      </c>
    </row>
    <row r="9" spans="2:12" ht="16.5" customHeight="1">
      <c r="B9" s="8" t="s">
        <v>18</v>
      </c>
      <c r="C9" s="92">
        <v>8.133061655724095</v>
      </c>
      <c r="D9" s="28">
        <v>7.77054937536051</v>
      </c>
      <c r="E9" s="28">
        <v>8.355429435871516</v>
      </c>
      <c r="F9" s="28">
        <v>9.384301910450878</v>
      </c>
      <c r="I9" s="8" t="s">
        <v>54</v>
      </c>
      <c r="J9" s="28">
        <v>7.77054937536051</v>
      </c>
      <c r="K9" s="28">
        <v>8.355429435871516</v>
      </c>
      <c r="L9" s="28">
        <v>9.384301910450878</v>
      </c>
    </row>
    <row r="10" spans="2:12" ht="16.5" customHeight="1">
      <c r="B10" s="8" t="s">
        <v>19</v>
      </c>
      <c r="C10" s="92">
        <v>8.329688325409403</v>
      </c>
      <c r="D10" s="28">
        <v>8.330770623900413</v>
      </c>
      <c r="E10" s="28">
        <v>8.957817875161735</v>
      </c>
      <c r="F10" s="28">
        <v>9.317157543987971</v>
      </c>
      <c r="I10" s="8" t="s">
        <v>55</v>
      </c>
      <c r="J10" s="28">
        <v>8.330770623900413</v>
      </c>
      <c r="K10" s="28">
        <v>8.957817875161735</v>
      </c>
      <c r="L10" s="28">
        <v>9.317157543987971</v>
      </c>
    </row>
    <row r="11" spans="2:12" ht="16.5" customHeight="1">
      <c r="B11" s="8" t="s">
        <v>20</v>
      </c>
      <c r="C11" s="92">
        <v>7.415010187910347</v>
      </c>
      <c r="D11" s="28">
        <v>7.406657283400816</v>
      </c>
      <c r="E11" s="28">
        <v>7.98414761656002</v>
      </c>
      <c r="F11" s="28">
        <v>6.028937816013885</v>
      </c>
      <c r="I11" s="8" t="s">
        <v>56</v>
      </c>
      <c r="J11" s="28">
        <v>7.406657283400816</v>
      </c>
      <c r="K11" s="28">
        <v>7.964147616560019</v>
      </c>
      <c r="L11" s="28">
        <v>6.028937816013885</v>
      </c>
    </row>
    <row r="12" spans="2:12" ht="16.5" customHeight="1">
      <c r="B12" s="8" t="s">
        <v>21</v>
      </c>
      <c r="C12" s="92">
        <v>5.741498754810959</v>
      </c>
      <c r="D12" s="28">
        <v>5.463159664726976</v>
      </c>
      <c r="E12" s="28">
        <v>5.8743652308892225</v>
      </c>
      <c r="F12" s="28">
        <v>6.366153253009561</v>
      </c>
      <c r="I12" s="8" t="s">
        <v>57</v>
      </c>
      <c r="J12" s="28">
        <v>5.463159664726976</v>
      </c>
      <c r="K12" s="28">
        <v>5.8743652308892225</v>
      </c>
      <c r="L12" s="28">
        <v>6.366153253009561</v>
      </c>
    </row>
    <row r="13" spans="2:12" ht="16.5" customHeight="1">
      <c r="B13" s="8" t="s">
        <v>22</v>
      </c>
      <c r="C13" s="92">
        <v>3.9864236661384043</v>
      </c>
      <c r="D13" s="28">
        <v>3.246560050724027</v>
      </c>
      <c r="E13" s="28">
        <v>3.49092478572476</v>
      </c>
      <c r="F13" s="28">
        <v>4.266839552762488</v>
      </c>
      <c r="I13" s="8" t="s">
        <v>58</v>
      </c>
      <c r="J13" s="28">
        <v>3.246560050724027</v>
      </c>
      <c r="K13" s="28">
        <v>3.49092478572476</v>
      </c>
      <c r="L13" s="28">
        <v>4.266839552762488</v>
      </c>
    </row>
    <row r="14" spans="2:12" ht="16.5" customHeight="1">
      <c r="B14" s="8" t="s">
        <v>23</v>
      </c>
      <c r="C14" s="92">
        <v>2.055112821673836</v>
      </c>
      <c r="D14" s="28">
        <v>1.228734391429168</v>
      </c>
      <c r="E14" s="28">
        <v>1.3212197757302877</v>
      </c>
      <c r="F14" s="28">
        <v>2.0912020152506607</v>
      </c>
      <c r="I14" s="8" t="s">
        <v>59</v>
      </c>
      <c r="J14" s="28">
        <v>1.228734391429168</v>
      </c>
      <c r="K14" s="28">
        <v>1.3212197757302877</v>
      </c>
      <c r="L14" s="28">
        <v>2.0912020152506607</v>
      </c>
    </row>
    <row r="15" spans="2:12" ht="16.5" customHeight="1" thickBot="1">
      <c r="B15" s="8" t="s">
        <v>24</v>
      </c>
      <c r="C15" s="92">
        <v>1.1</v>
      </c>
      <c r="D15" s="28">
        <v>0.3401204437400951</v>
      </c>
      <c r="E15" s="28">
        <v>0.47</v>
      </c>
      <c r="F15" s="28">
        <v>1.0317802430005283</v>
      </c>
      <c r="G15" s="6"/>
      <c r="H15" s="6"/>
      <c r="I15" s="8" t="s">
        <v>60</v>
      </c>
      <c r="J15" s="28">
        <v>0.3401204437400951</v>
      </c>
      <c r="K15" s="28">
        <v>0.47</v>
      </c>
      <c r="L15" s="28">
        <v>1.0317802430005283</v>
      </c>
    </row>
    <row r="16" spans="2:10" ht="18.75" customHeight="1" thickBot="1">
      <c r="B16" s="23" t="s">
        <v>31</v>
      </c>
      <c r="C16" s="27">
        <f>SUM(C4:C15)</f>
        <v>57.89743415591276</v>
      </c>
      <c r="D16" s="24">
        <f>SUM(D4:D15)</f>
        <v>48.28703434862413</v>
      </c>
      <c r="E16" s="25">
        <f>SUM(E4:E15)</f>
        <v>52.292091021218795</v>
      </c>
      <c r="F16" s="26">
        <f>SUM(F4:F15)</f>
        <v>61.665826180899145</v>
      </c>
      <c r="G16" s="6"/>
      <c r="H16" s="6"/>
      <c r="I16" s="6"/>
      <c r="J16" s="28">
        <f>SUM(J4:J15)</f>
        <v>48.28703434862413</v>
      </c>
    </row>
    <row r="17" spans="1:8" ht="18.75" customHeight="1">
      <c r="A17" s="6"/>
      <c r="B17" s="6"/>
      <c r="C17" s="6"/>
      <c r="D17" s="6"/>
      <c r="E17" s="6"/>
      <c r="F17" s="6"/>
      <c r="G17" s="6"/>
      <c r="H17" s="6"/>
    </row>
    <row r="18" spans="1:13" s="4" customFormat="1" ht="14.25" thickBot="1">
      <c r="A18" s="31"/>
      <c r="B18" s="32"/>
      <c r="C18" s="33"/>
      <c r="D18" s="33"/>
      <c r="E18" s="33"/>
      <c r="F18" s="33"/>
      <c r="G18" s="34"/>
      <c r="H18" s="35"/>
      <c r="I18" s="33"/>
      <c r="J18" s="33"/>
      <c r="K18" s="33"/>
      <c r="L18" s="33"/>
      <c r="M18" s="36"/>
    </row>
    <row r="19" spans="1:13" s="4" customFormat="1" ht="60" customHeight="1">
      <c r="A19" s="67" t="s">
        <v>0</v>
      </c>
      <c r="B19" s="38" t="s">
        <v>41</v>
      </c>
      <c r="C19" s="112" t="s">
        <v>48</v>
      </c>
      <c r="D19" s="112" t="s">
        <v>10</v>
      </c>
      <c r="E19" s="112" t="s">
        <v>11</v>
      </c>
      <c r="F19" s="112" t="s">
        <v>12</v>
      </c>
      <c r="G19" s="40" t="s">
        <v>33</v>
      </c>
      <c r="H19" s="68"/>
      <c r="I19" s="210" t="s">
        <v>117</v>
      </c>
      <c r="J19" s="211"/>
      <c r="K19" s="211"/>
      <c r="L19" s="211"/>
      <c r="M19" s="212"/>
    </row>
    <row r="20" spans="1:13" s="4" customFormat="1" ht="35.25" customHeight="1" thickBot="1">
      <c r="A20" s="41" t="s">
        <v>34</v>
      </c>
      <c r="B20" s="42" t="s">
        <v>9</v>
      </c>
      <c r="C20" s="42" t="s">
        <v>3</v>
      </c>
      <c r="D20" s="42" t="s">
        <v>4</v>
      </c>
      <c r="E20" s="42" t="s">
        <v>5</v>
      </c>
      <c r="F20" s="42" t="s">
        <v>6</v>
      </c>
      <c r="G20" s="43" t="s">
        <v>8</v>
      </c>
      <c r="H20" s="69" t="s">
        <v>35</v>
      </c>
      <c r="I20" s="114" t="s">
        <v>39</v>
      </c>
      <c r="J20" s="114" t="s">
        <v>36</v>
      </c>
      <c r="K20" s="114" t="s">
        <v>37</v>
      </c>
      <c r="L20" s="114" t="s">
        <v>38</v>
      </c>
      <c r="M20" s="150" t="s">
        <v>7</v>
      </c>
    </row>
    <row r="21" spans="1:13" s="4" customFormat="1" ht="18" customHeight="1">
      <c r="A21" s="44" t="s">
        <v>13</v>
      </c>
      <c r="B21" s="51">
        <v>1.1418911780243</v>
      </c>
      <c r="C21" s="51">
        <f aca="true" t="shared" si="0" ref="C21:C32">G21*0.3</f>
        <v>0.12</v>
      </c>
      <c r="D21" s="51">
        <f aca="true" t="shared" si="1" ref="D21:D32">G21*0.55</f>
        <v>0.22000000000000003</v>
      </c>
      <c r="E21" s="51">
        <f aca="true" t="shared" si="2" ref="E21:E32">G21*0.75</f>
        <v>0.30000000000000004</v>
      </c>
      <c r="F21" s="51">
        <f aca="true" t="shared" si="3" ref="F21:F32">G21*0.9</f>
        <v>0.36000000000000004</v>
      </c>
      <c r="G21" s="52">
        <v>0.4</v>
      </c>
      <c r="H21" s="53"/>
      <c r="I21" s="49">
        <f aca="true" t="shared" si="4" ref="I21:I32">$B21*C21</f>
        <v>0.137026941362916</v>
      </c>
      <c r="J21" s="46">
        <f aca="true" t="shared" si="5" ref="J21:J32">$B21*D21</f>
        <v>0.251216059165346</v>
      </c>
      <c r="K21" s="46">
        <f aca="true" t="shared" si="6" ref="K21:K32">$B21*E21</f>
        <v>0.34256735340729005</v>
      </c>
      <c r="L21" s="46">
        <f aca="true" t="shared" si="7" ref="L21:L32">$B21*F21</f>
        <v>0.411080824088748</v>
      </c>
      <c r="M21" s="50">
        <f aca="true" t="shared" si="8" ref="M21:M32">$B21*G21</f>
        <v>0.45675647120972</v>
      </c>
    </row>
    <row r="22" spans="1:13" s="4" customFormat="1" ht="18" customHeight="1">
      <c r="A22" s="44" t="s">
        <v>14</v>
      </c>
      <c r="B22" s="51">
        <v>2.534299298166176</v>
      </c>
      <c r="C22" s="51">
        <f t="shared" si="0"/>
        <v>0.12117241379310342</v>
      </c>
      <c r="D22" s="51">
        <f t="shared" si="1"/>
        <v>0.2221494252873563</v>
      </c>
      <c r="E22" s="51">
        <f t="shared" si="2"/>
        <v>0.30293103448275854</v>
      </c>
      <c r="F22" s="51">
        <f t="shared" si="3"/>
        <v>0.3635172413793103</v>
      </c>
      <c r="G22" s="52">
        <v>0.4039080459770114</v>
      </c>
      <c r="H22" s="53"/>
      <c r="I22" s="54">
        <f t="shared" si="4"/>
        <v>0.3070871632329635</v>
      </c>
      <c r="J22" s="51">
        <f t="shared" si="5"/>
        <v>0.5629931325937664</v>
      </c>
      <c r="K22" s="51">
        <f t="shared" si="6"/>
        <v>0.7677179080824087</v>
      </c>
      <c r="L22" s="51">
        <f t="shared" si="7"/>
        <v>0.9212614896988905</v>
      </c>
      <c r="M22" s="55">
        <f t="shared" si="8"/>
        <v>1.0236238774432116</v>
      </c>
    </row>
    <row r="23" spans="1:13" s="4" customFormat="1" ht="18" customHeight="1">
      <c r="A23" s="44" t="s">
        <v>15</v>
      </c>
      <c r="B23" s="51">
        <v>3.9398158629537394</v>
      </c>
      <c r="C23" s="51">
        <f t="shared" si="0"/>
        <v>0.1954376906166456</v>
      </c>
      <c r="D23" s="51">
        <f t="shared" si="1"/>
        <v>0.35830243279718366</v>
      </c>
      <c r="E23" s="51">
        <f t="shared" si="2"/>
        <v>0.488594226541614</v>
      </c>
      <c r="F23" s="51">
        <f t="shared" si="3"/>
        <v>0.5863130718499369</v>
      </c>
      <c r="G23" s="52">
        <v>0.651458968722152</v>
      </c>
      <c r="H23" s="53"/>
      <c r="I23" s="54">
        <f t="shared" si="4"/>
        <v>0.7699885137105055</v>
      </c>
      <c r="J23" s="51">
        <f t="shared" si="5"/>
        <v>1.4116456084692603</v>
      </c>
      <c r="K23" s="51">
        <f t="shared" si="6"/>
        <v>1.9249712842762638</v>
      </c>
      <c r="L23" s="51">
        <f t="shared" si="7"/>
        <v>2.309965541131517</v>
      </c>
      <c r="M23" s="55">
        <f t="shared" si="8"/>
        <v>2.5666283790350186</v>
      </c>
    </row>
    <row r="24" spans="1:14" s="4" customFormat="1" ht="18" customHeight="1">
      <c r="A24" s="44" t="s">
        <v>16</v>
      </c>
      <c r="B24" s="51">
        <v>5.858018262772621</v>
      </c>
      <c r="C24" s="51">
        <f t="shared" si="0"/>
        <v>0.23782068639794574</v>
      </c>
      <c r="D24" s="51">
        <f t="shared" si="1"/>
        <v>0.43600459172956724</v>
      </c>
      <c r="E24" s="51">
        <f t="shared" si="2"/>
        <v>0.5945517159948643</v>
      </c>
      <c r="F24" s="51">
        <f t="shared" si="3"/>
        <v>0.7134620591938372</v>
      </c>
      <c r="G24" s="52">
        <v>0.7927356213264858</v>
      </c>
      <c r="H24" s="53"/>
      <c r="I24" s="54">
        <f t="shared" si="4"/>
        <v>1.3931579241842864</v>
      </c>
      <c r="J24" s="51">
        <f t="shared" si="5"/>
        <v>2.5541228610045255</v>
      </c>
      <c r="K24" s="51">
        <f t="shared" si="6"/>
        <v>3.482894810460716</v>
      </c>
      <c r="L24" s="51">
        <f t="shared" si="7"/>
        <v>4.179473772552859</v>
      </c>
      <c r="M24" s="55">
        <f t="shared" si="8"/>
        <v>4.643859747280954</v>
      </c>
      <c r="N24" s="22"/>
    </row>
    <row r="25" spans="1:13" s="4" customFormat="1" ht="18" customHeight="1">
      <c r="A25" s="44" t="s">
        <v>17</v>
      </c>
      <c r="B25" s="51">
        <v>7.66261414232888</v>
      </c>
      <c r="C25" s="51">
        <f t="shared" si="0"/>
        <v>0.27982556710627016</v>
      </c>
      <c r="D25" s="51">
        <f t="shared" si="1"/>
        <v>0.5130135396948287</v>
      </c>
      <c r="E25" s="51">
        <f t="shared" si="2"/>
        <v>0.6995639177656754</v>
      </c>
      <c r="F25" s="51">
        <f t="shared" si="3"/>
        <v>0.8394767013188105</v>
      </c>
      <c r="G25" s="52">
        <v>0.9327518903542339</v>
      </c>
      <c r="H25" s="53"/>
      <c r="I25" s="54">
        <f t="shared" si="4"/>
        <v>2.144195347893705</v>
      </c>
      <c r="J25" s="51">
        <f t="shared" si="5"/>
        <v>3.931024804471792</v>
      </c>
      <c r="K25" s="51">
        <f t="shared" si="6"/>
        <v>5.360488369734262</v>
      </c>
      <c r="L25" s="51">
        <f t="shared" si="7"/>
        <v>6.432586043681114</v>
      </c>
      <c r="M25" s="55">
        <f t="shared" si="8"/>
        <v>7.147317826312349</v>
      </c>
    </row>
    <row r="26" spans="1:13" s="4" customFormat="1" ht="18" customHeight="1">
      <c r="A26" s="44" t="s">
        <v>18</v>
      </c>
      <c r="B26" s="51">
        <v>8.133061655724095</v>
      </c>
      <c r="C26" s="51">
        <f t="shared" si="0"/>
        <v>0.30820236423478664</v>
      </c>
      <c r="D26" s="51">
        <f t="shared" si="1"/>
        <v>0.5650376677637755</v>
      </c>
      <c r="E26" s="51">
        <f t="shared" si="2"/>
        <v>0.7705059105869666</v>
      </c>
      <c r="F26" s="51">
        <f t="shared" si="3"/>
        <v>0.9246070927043599</v>
      </c>
      <c r="G26" s="52">
        <v>1.0273412141159555</v>
      </c>
      <c r="H26" s="53"/>
      <c r="I26" s="54">
        <f t="shared" si="4"/>
        <v>2.5066288307614544</v>
      </c>
      <c r="J26" s="51">
        <f t="shared" si="5"/>
        <v>4.595486189729333</v>
      </c>
      <c r="K26" s="51">
        <f t="shared" si="6"/>
        <v>6.266572076903636</v>
      </c>
      <c r="L26" s="51">
        <f t="shared" si="7"/>
        <v>7.519886492284363</v>
      </c>
      <c r="M26" s="55">
        <f t="shared" si="8"/>
        <v>8.355429435871516</v>
      </c>
    </row>
    <row r="27" spans="1:13" s="4" customFormat="1" ht="18" customHeight="1">
      <c r="A27" s="44" t="s">
        <v>19</v>
      </c>
      <c r="B27" s="51">
        <v>8.329688325409403</v>
      </c>
      <c r="C27" s="51">
        <f t="shared" si="0"/>
        <v>0.32262255891986663</v>
      </c>
      <c r="D27" s="51">
        <f t="shared" si="1"/>
        <v>0.5914746913530889</v>
      </c>
      <c r="E27" s="51">
        <f t="shared" si="2"/>
        <v>0.8065563972996665</v>
      </c>
      <c r="F27" s="51">
        <f t="shared" si="3"/>
        <v>0.9678676767596</v>
      </c>
      <c r="G27" s="52">
        <v>1.0754085297328888</v>
      </c>
      <c r="H27" s="53"/>
      <c r="I27" s="54">
        <f t="shared" si="4"/>
        <v>2.6873453625485206</v>
      </c>
      <c r="J27" s="51">
        <f t="shared" si="5"/>
        <v>4.926799831338955</v>
      </c>
      <c r="K27" s="51">
        <f t="shared" si="6"/>
        <v>6.718363406371301</v>
      </c>
      <c r="L27" s="51">
        <f t="shared" si="7"/>
        <v>8.062036087645561</v>
      </c>
      <c r="M27" s="55">
        <f t="shared" si="8"/>
        <v>8.957817875161735</v>
      </c>
    </row>
    <row r="28" spans="1:14" s="4" customFormat="1" ht="18" customHeight="1">
      <c r="A28" s="44" t="s">
        <v>20</v>
      </c>
      <c r="B28" s="51">
        <v>7.415010187910347</v>
      </c>
      <c r="C28" s="51">
        <f t="shared" si="0"/>
        <v>0.3230264320975962</v>
      </c>
      <c r="D28" s="51">
        <f t="shared" si="1"/>
        <v>0.5922151255122597</v>
      </c>
      <c r="E28" s="51">
        <f t="shared" si="2"/>
        <v>0.8075660802439906</v>
      </c>
      <c r="F28" s="51">
        <f t="shared" si="3"/>
        <v>0.9690792962927887</v>
      </c>
      <c r="G28" s="52">
        <v>1.076754773658654</v>
      </c>
      <c r="H28" s="53"/>
      <c r="I28" s="54">
        <f t="shared" si="4"/>
        <v>2.3952442849680056</v>
      </c>
      <c r="J28" s="51">
        <f t="shared" si="5"/>
        <v>4.391281189108011</v>
      </c>
      <c r="K28" s="51">
        <f t="shared" si="6"/>
        <v>5.988110712420015</v>
      </c>
      <c r="L28" s="51">
        <f t="shared" si="7"/>
        <v>7.1857328549040185</v>
      </c>
      <c r="M28" s="55">
        <f t="shared" si="8"/>
        <v>7.98414761656002</v>
      </c>
      <c r="N28" s="22"/>
    </row>
    <row r="29" spans="1:13" s="4" customFormat="1" ht="18" customHeight="1">
      <c r="A29" s="44" t="s">
        <v>21</v>
      </c>
      <c r="B29" s="51">
        <v>5.741498754810959</v>
      </c>
      <c r="C29" s="51">
        <f t="shared" si="0"/>
        <v>0.30694242819265255</v>
      </c>
      <c r="D29" s="51">
        <f t="shared" si="1"/>
        <v>0.5627277850198631</v>
      </c>
      <c r="E29" s="51">
        <f t="shared" si="2"/>
        <v>0.7673560704816315</v>
      </c>
      <c r="F29" s="51">
        <f t="shared" si="3"/>
        <v>0.9208272845779578</v>
      </c>
      <c r="G29" s="52">
        <v>1.023141427308842</v>
      </c>
      <c r="H29" s="53"/>
      <c r="I29" s="54">
        <f t="shared" si="4"/>
        <v>1.7623095692667667</v>
      </c>
      <c r="J29" s="51">
        <f t="shared" si="5"/>
        <v>3.2309008769890726</v>
      </c>
      <c r="K29" s="51">
        <f t="shared" si="6"/>
        <v>4.405773923166917</v>
      </c>
      <c r="L29" s="51">
        <f t="shared" si="7"/>
        <v>5.286928707800301</v>
      </c>
      <c r="M29" s="55">
        <f t="shared" si="8"/>
        <v>5.874365230889223</v>
      </c>
    </row>
    <row r="30" spans="1:13" s="4" customFormat="1" ht="18" customHeight="1">
      <c r="A30" s="44" t="s">
        <v>22</v>
      </c>
      <c r="B30" s="51">
        <v>3.9864236661384043</v>
      </c>
      <c r="C30" s="51">
        <f t="shared" si="0"/>
        <v>0.26271102206552766</v>
      </c>
      <c r="D30" s="51">
        <f t="shared" si="1"/>
        <v>0.48163687378680076</v>
      </c>
      <c r="E30" s="51">
        <f t="shared" si="2"/>
        <v>0.6567775551638191</v>
      </c>
      <c r="F30" s="51">
        <f t="shared" si="3"/>
        <v>0.788133066196583</v>
      </c>
      <c r="G30" s="52">
        <v>0.8757034068850922</v>
      </c>
      <c r="H30" s="53"/>
      <c r="I30" s="54">
        <f t="shared" si="4"/>
        <v>1.047277435717428</v>
      </c>
      <c r="J30" s="51">
        <f t="shared" si="5"/>
        <v>1.9200086321486183</v>
      </c>
      <c r="K30" s="51">
        <f t="shared" si="6"/>
        <v>2.6181935892935697</v>
      </c>
      <c r="L30" s="51">
        <f t="shared" si="7"/>
        <v>3.141832307152284</v>
      </c>
      <c r="M30" s="55">
        <f t="shared" si="8"/>
        <v>3.49092478572476</v>
      </c>
    </row>
    <row r="31" spans="1:13" s="4" customFormat="1" ht="18" customHeight="1">
      <c r="A31" s="44" t="s">
        <v>23</v>
      </c>
      <c r="B31" s="51">
        <v>2.055112821673836</v>
      </c>
      <c r="C31" s="51">
        <f t="shared" si="0"/>
        <v>0.19286821070789512</v>
      </c>
      <c r="D31" s="51">
        <f t="shared" si="1"/>
        <v>0.3535917196311411</v>
      </c>
      <c r="E31" s="51">
        <f t="shared" si="2"/>
        <v>0.4821705267697378</v>
      </c>
      <c r="F31" s="51">
        <f t="shared" si="3"/>
        <v>0.5786046321236854</v>
      </c>
      <c r="G31" s="52">
        <v>0.6428940356929838</v>
      </c>
      <c r="H31" s="53"/>
      <c r="I31" s="54">
        <f t="shared" si="4"/>
        <v>0.39636593271908627</v>
      </c>
      <c r="J31" s="51">
        <f t="shared" si="5"/>
        <v>0.7266708766516583</v>
      </c>
      <c r="K31" s="51">
        <f t="shared" si="6"/>
        <v>0.9909148317977157</v>
      </c>
      <c r="L31" s="51">
        <f t="shared" si="7"/>
        <v>1.1890977981572588</v>
      </c>
      <c r="M31" s="55">
        <f t="shared" si="8"/>
        <v>1.3212197757302877</v>
      </c>
    </row>
    <row r="32" spans="1:13" s="4" customFormat="1" ht="18" customHeight="1" thickBot="1">
      <c r="A32" s="41" t="s">
        <v>24</v>
      </c>
      <c r="B32" s="56">
        <v>1.1</v>
      </c>
      <c r="C32" s="56">
        <f t="shared" si="0"/>
        <v>0.12818181818181815</v>
      </c>
      <c r="D32" s="56">
        <f t="shared" si="1"/>
        <v>0.235</v>
      </c>
      <c r="E32" s="56">
        <f t="shared" si="2"/>
        <v>0.3204545454545454</v>
      </c>
      <c r="F32" s="56">
        <f t="shared" si="3"/>
        <v>0.38454545454545447</v>
      </c>
      <c r="G32" s="57">
        <v>0.4272727272727272</v>
      </c>
      <c r="H32" s="58"/>
      <c r="I32" s="59">
        <f t="shared" si="4"/>
        <v>0.141</v>
      </c>
      <c r="J32" s="56">
        <f t="shared" si="5"/>
        <v>0.2585</v>
      </c>
      <c r="K32" s="56">
        <f t="shared" si="6"/>
        <v>0.3524999999999999</v>
      </c>
      <c r="L32" s="56">
        <f t="shared" si="7"/>
        <v>0.42299999999999993</v>
      </c>
      <c r="M32" s="60">
        <f t="shared" si="8"/>
        <v>0.47</v>
      </c>
    </row>
    <row r="33" spans="1:14" s="4" customFormat="1" ht="18" customHeight="1">
      <c r="A33" s="45" t="s">
        <v>31</v>
      </c>
      <c r="B33" s="61">
        <f>SUM(B21:B32)</f>
        <v>57.89743415591276</v>
      </c>
      <c r="C33" s="62"/>
      <c r="D33" s="62"/>
      <c r="E33" s="62"/>
      <c r="F33" s="62"/>
      <c r="G33" s="63"/>
      <c r="H33" s="64"/>
      <c r="I33" s="65">
        <f>SUM(I21:I32)</f>
        <v>15.687627306365636</v>
      </c>
      <c r="J33" s="65">
        <f>SUM(J21:J32)</f>
        <v>28.760650061670336</v>
      </c>
      <c r="K33" s="65">
        <f>SUM(K21:K32)</f>
        <v>39.219068265914096</v>
      </c>
      <c r="L33" s="65">
        <f>SUM(L21:L32)</f>
        <v>47.06288191909692</v>
      </c>
      <c r="M33" s="65">
        <f>SUM(M21:M32)</f>
        <v>52.292091021218795</v>
      </c>
      <c r="N33" s="22"/>
    </row>
    <row r="38" ht="12">
      <c r="C38" s="1"/>
    </row>
    <row r="39" ht="12">
      <c r="C39" s="1"/>
    </row>
    <row r="40" ht="12">
      <c r="C40" s="1"/>
    </row>
  </sheetData>
  <sheetProtection/>
  <mergeCells count="3">
    <mergeCell ref="D1:F1"/>
    <mergeCell ref="I19:M19"/>
    <mergeCell ref="A2:A3"/>
  </mergeCells>
  <printOptions/>
  <pageMargins left="0.49" right="0.18" top="0.23" bottom="0.21" header="0.21" footer="0.18"/>
  <pageSetup fitToHeight="1" fitToWidth="1" horizontalDpi="600" verticalDpi="600" orientation="landscape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4.140625" style="0" customWidth="1"/>
    <col min="2" max="2" width="10.7109375" style="0" customWidth="1"/>
    <col min="3" max="3" width="10.7109375" style="4" customWidth="1"/>
    <col min="4" max="7" width="10.7109375" style="0" customWidth="1"/>
    <col min="8" max="8" width="3.00390625" style="0" customWidth="1"/>
    <col min="9" max="13" width="10.7109375" style="0" customWidth="1"/>
  </cols>
  <sheetData>
    <row r="1" spans="1:6" ht="30.75" customHeight="1" thickBot="1">
      <c r="A1" s="28"/>
      <c r="B1" s="6"/>
      <c r="C1" s="6"/>
      <c r="D1" s="209" t="s">
        <v>32</v>
      </c>
      <c r="E1" s="209"/>
      <c r="F1" s="209"/>
    </row>
    <row r="2" spans="1:6" ht="36" customHeight="1" thickBot="1">
      <c r="A2" s="213"/>
      <c r="B2" s="6"/>
      <c r="C2" s="72" t="s">
        <v>30</v>
      </c>
      <c r="D2" s="73" t="s">
        <v>27</v>
      </c>
      <c r="E2" s="74" t="s">
        <v>28</v>
      </c>
      <c r="F2" s="75" t="s">
        <v>94</v>
      </c>
    </row>
    <row r="3" spans="1:12" ht="24" customHeight="1">
      <c r="A3" s="213"/>
      <c r="B3" s="6"/>
      <c r="C3" s="76" t="s">
        <v>42</v>
      </c>
      <c r="D3" s="77" t="s">
        <v>25</v>
      </c>
      <c r="E3" s="78" t="s">
        <v>29</v>
      </c>
      <c r="F3" s="79" t="s">
        <v>26</v>
      </c>
      <c r="J3" s="73" t="s">
        <v>27</v>
      </c>
      <c r="K3" s="74" t="s">
        <v>28</v>
      </c>
      <c r="L3" s="75" t="s">
        <v>95</v>
      </c>
    </row>
    <row r="4" spans="2:12" ht="16.5" customHeight="1">
      <c r="B4" s="8" t="s">
        <v>13</v>
      </c>
      <c r="C4" s="92">
        <v>1.24</v>
      </c>
      <c r="D4" s="123">
        <v>0.37199999999999994</v>
      </c>
      <c r="E4" s="123">
        <v>0.49599999999999994</v>
      </c>
      <c r="F4" s="123">
        <v>1.24</v>
      </c>
      <c r="I4" s="8" t="s">
        <v>49</v>
      </c>
      <c r="J4" s="28">
        <v>0.34256735340728994</v>
      </c>
      <c r="K4" s="28">
        <v>0.45675647120971996</v>
      </c>
      <c r="L4" s="28">
        <v>1.1418911780243</v>
      </c>
    </row>
    <row r="5" spans="2:12" ht="16.5" customHeight="1">
      <c r="B5" s="8" t="s">
        <v>14</v>
      </c>
      <c r="C5" s="92">
        <v>1.96</v>
      </c>
      <c r="D5" s="123">
        <v>0.6226987586206896</v>
      </c>
      <c r="E5" s="123">
        <v>0.7916597701149424</v>
      </c>
      <c r="F5" s="123">
        <v>1.9669634273772207</v>
      </c>
      <c r="I5" s="8" t="s">
        <v>50</v>
      </c>
      <c r="J5" s="28">
        <v>0.8051556259904912</v>
      </c>
      <c r="K5" s="28">
        <v>1.0236238774432116</v>
      </c>
      <c r="L5" s="28">
        <v>2.54330307832685</v>
      </c>
    </row>
    <row r="6" spans="2:12" ht="16.5" customHeight="1">
      <c r="B6" s="8" t="s">
        <v>15</v>
      </c>
      <c r="C6" s="92">
        <v>3.41</v>
      </c>
      <c r="D6" s="123">
        <v>2.065971827508561</v>
      </c>
      <c r="E6" s="123">
        <v>2.2214750833425385</v>
      </c>
      <c r="F6" s="123">
        <v>3.587685905961387</v>
      </c>
      <c r="I6" s="8" t="s">
        <v>51</v>
      </c>
      <c r="J6" s="28">
        <v>2.3869643925025676</v>
      </c>
      <c r="K6" s="28">
        <v>2.5666283790350186</v>
      </c>
      <c r="L6" s="28">
        <v>4.145109045044642</v>
      </c>
    </row>
    <row r="7" spans="2:12" ht="16.5" customHeight="1">
      <c r="B7" s="8" t="s">
        <v>16</v>
      </c>
      <c r="C7" s="92">
        <v>5.1</v>
      </c>
      <c r="D7" s="123">
        <v>3.7599450519515205</v>
      </c>
      <c r="E7" s="123">
        <v>4.042951668765077</v>
      </c>
      <c r="F7" s="123">
        <v>5.6514669620999625</v>
      </c>
      <c r="I7" s="8" t="s">
        <v>52</v>
      </c>
      <c r="J7" s="28">
        <v>4.318789564971286</v>
      </c>
      <c r="K7" s="28">
        <v>4.643859747280954</v>
      </c>
      <c r="L7" s="28">
        <v>6.491450328517193</v>
      </c>
    </row>
    <row r="8" spans="2:12" ht="16.5" customHeight="1">
      <c r="B8" s="8" t="s">
        <v>17</v>
      </c>
      <c r="C8" s="92">
        <v>6.82</v>
      </c>
      <c r="D8" s="123">
        <v>5.916072139760763</v>
      </c>
      <c r="E8" s="123">
        <v>6.361367892215875</v>
      </c>
      <c r="F8" s="123">
        <v>7.883669248447809</v>
      </c>
      <c r="I8" s="8" t="s">
        <v>53</v>
      </c>
      <c r="J8" s="28">
        <v>6.647005578470484</v>
      </c>
      <c r="K8" s="28">
        <v>7.147317826312349</v>
      </c>
      <c r="L8" s="28">
        <v>8.857700216510187</v>
      </c>
    </row>
    <row r="9" spans="2:12" ht="16.5" customHeight="1">
      <c r="B9" s="8" t="s">
        <v>18</v>
      </c>
      <c r="C9" s="92">
        <v>7.8</v>
      </c>
      <c r="D9" s="123">
        <v>7.452333167197141</v>
      </c>
      <c r="E9" s="123">
        <v>8.013261470104453</v>
      </c>
      <c r="F9" s="123">
        <v>9</v>
      </c>
      <c r="I9" s="8" t="s">
        <v>54</v>
      </c>
      <c r="J9" s="28">
        <v>7.77054937536051</v>
      </c>
      <c r="K9" s="28">
        <v>8.355429435871516</v>
      </c>
      <c r="L9" s="28">
        <v>9.384301910450878</v>
      </c>
    </row>
    <row r="10" spans="2:12" ht="16.5" customHeight="1">
      <c r="B10" s="8" t="s">
        <v>19</v>
      </c>
      <c r="C10" s="92">
        <v>8.06</v>
      </c>
      <c r="D10" s="123">
        <v>8.061047257171788</v>
      </c>
      <c r="E10" s="123">
        <v>8.667792749647084</v>
      </c>
      <c r="F10" s="123">
        <v>9.015498164014687</v>
      </c>
      <c r="I10" s="8" t="s">
        <v>55</v>
      </c>
      <c r="J10" s="28">
        <v>8.330770623900413</v>
      </c>
      <c r="K10" s="28">
        <v>8.957817875161735</v>
      </c>
      <c r="L10" s="28">
        <v>9.317157543987971</v>
      </c>
    </row>
    <row r="11" spans="2:12" ht="16.5" customHeight="1">
      <c r="B11" s="8" t="s">
        <v>20</v>
      </c>
      <c r="C11" s="92">
        <v>7.13</v>
      </c>
      <c r="D11" s="123">
        <v>7.1219681554517535</v>
      </c>
      <c r="E11" s="123">
        <v>7.658030274679306</v>
      </c>
      <c r="F11" s="123">
        <v>5.797203987428794</v>
      </c>
      <c r="I11" s="8" t="s">
        <v>56</v>
      </c>
      <c r="J11" s="28">
        <v>7.406657283400816</v>
      </c>
      <c r="K11" s="28">
        <v>7.964147616560019</v>
      </c>
      <c r="L11" s="28">
        <v>6.028937816013885</v>
      </c>
    </row>
    <row r="12" spans="2:12" ht="16.5" customHeight="1">
      <c r="B12" s="8" t="s">
        <v>21</v>
      </c>
      <c r="C12" s="92">
        <v>5.4</v>
      </c>
      <c r="D12" s="123">
        <v>5.138216247945003</v>
      </c>
      <c r="E12" s="123">
        <v>5.524963707467746</v>
      </c>
      <c r="F12" s="123">
        <v>5.987500656940143</v>
      </c>
      <c r="I12" s="8" t="s">
        <v>57</v>
      </c>
      <c r="J12" s="28">
        <v>5.463159664726976</v>
      </c>
      <c r="K12" s="28">
        <v>5.8743652308892225</v>
      </c>
      <c r="L12" s="28">
        <v>6.366153253009561</v>
      </c>
    </row>
    <row r="13" spans="2:12" ht="16.5" customHeight="1">
      <c r="B13" s="8" t="s">
        <v>22</v>
      </c>
      <c r="C13" s="92">
        <v>3.72</v>
      </c>
      <c r="D13" s="123">
        <v>3.0295835064596655</v>
      </c>
      <c r="E13" s="123">
        <v>3.2576166736125436</v>
      </c>
      <c r="F13" s="123">
        <v>3.981674921083357</v>
      </c>
      <c r="I13" s="8" t="s">
        <v>58</v>
      </c>
      <c r="J13" s="28">
        <v>3.246560050724027</v>
      </c>
      <c r="K13" s="28">
        <v>3.49092478572476</v>
      </c>
      <c r="L13" s="28">
        <v>4.266839552762488</v>
      </c>
    </row>
    <row r="14" spans="2:12" ht="16.5" customHeight="1">
      <c r="B14" s="8" t="s">
        <v>23</v>
      </c>
      <c r="C14" s="92">
        <v>1.8</v>
      </c>
      <c r="D14" s="123">
        <v>1.076204615750055</v>
      </c>
      <c r="E14" s="123">
        <v>1.1572092642473708</v>
      </c>
      <c r="F14" s="123">
        <v>1.8316092370954973</v>
      </c>
      <c r="I14" s="8" t="s">
        <v>59</v>
      </c>
      <c r="J14" s="28">
        <v>1.228734391429168</v>
      </c>
      <c r="K14" s="28">
        <v>1.3212197757302877</v>
      </c>
      <c r="L14" s="28">
        <v>2.0912020152506607</v>
      </c>
    </row>
    <row r="15" spans="2:12" ht="16.5" customHeight="1" thickBot="1">
      <c r="B15" s="8" t="s">
        <v>24</v>
      </c>
      <c r="C15" s="92">
        <v>0.93</v>
      </c>
      <c r="D15" s="123">
        <v>0.2875563751620804</v>
      </c>
      <c r="E15" s="123">
        <v>0.39736363636363636</v>
      </c>
      <c r="F15" s="123">
        <v>0.8723232963549921</v>
      </c>
      <c r="G15" s="6"/>
      <c r="H15" s="6"/>
      <c r="I15" s="8" t="s">
        <v>60</v>
      </c>
      <c r="J15" s="28">
        <v>0.3401204437400951</v>
      </c>
      <c r="K15" s="28">
        <v>0.47</v>
      </c>
      <c r="L15" s="28">
        <v>1.0317802430005283</v>
      </c>
    </row>
    <row r="16" spans="2:10" ht="18.75" customHeight="1" thickBot="1">
      <c r="B16" s="23" t="s">
        <v>31</v>
      </c>
      <c r="C16" s="27">
        <f>SUM(C4:C15)</f>
        <v>53.37</v>
      </c>
      <c r="D16" s="24">
        <f>SUM(D4:D15)</f>
        <v>44.90359710297903</v>
      </c>
      <c r="E16" s="25">
        <f>SUM(E4:E15)</f>
        <v>48.58969219056058</v>
      </c>
      <c r="F16" s="26">
        <f>SUM(F4:F15)</f>
        <v>56.81559580680385</v>
      </c>
      <c r="G16" s="6"/>
      <c r="H16" s="6"/>
      <c r="I16" s="6"/>
      <c r="J16" s="28">
        <f>SUM(J4:J15)</f>
        <v>48.28703434862413</v>
      </c>
    </row>
    <row r="17" spans="1:8" ht="18.75" customHeight="1">
      <c r="A17" s="6"/>
      <c r="B17" s="6"/>
      <c r="C17" s="6"/>
      <c r="D17" s="6"/>
      <c r="E17" s="6"/>
      <c r="F17" s="6"/>
      <c r="G17" s="6"/>
      <c r="H17" s="6"/>
    </row>
    <row r="18" spans="1:13" s="4" customFormat="1" ht="14.25" thickBot="1">
      <c r="A18" s="31"/>
      <c r="B18" s="32"/>
      <c r="C18" s="33"/>
      <c r="D18" s="33"/>
      <c r="E18" s="33"/>
      <c r="F18" s="33"/>
      <c r="G18" s="34"/>
      <c r="H18" s="35"/>
      <c r="I18" s="33"/>
      <c r="J18" s="33"/>
      <c r="K18" s="33"/>
      <c r="L18" s="33"/>
      <c r="M18" s="36"/>
    </row>
    <row r="19" spans="1:13" s="4" customFormat="1" ht="60" customHeight="1">
      <c r="A19" s="67" t="s">
        <v>0</v>
      </c>
      <c r="B19" s="38" t="s">
        <v>41</v>
      </c>
      <c r="C19" s="39"/>
      <c r="D19" s="39"/>
      <c r="E19" s="39"/>
      <c r="F19" s="39"/>
      <c r="G19" s="40" t="s">
        <v>33</v>
      </c>
      <c r="H19" s="68"/>
      <c r="I19" s="210" t="s">
        <v>40</v>
      </c>
      <c r="J19" s="211"/>
      <c r="K19" s="211"/>
      <c r="L19" s="211"/>
      <c r="M19" s="212"/>
    </row>
    <row r="20" spans="1:13" s="4" customFormat="1" ht="35.25" customHeight="1" thickBot="1">
      <c r="A20" s="41" t="s">
        <v>34</v>
      </c>
      <c r="B20" s="42" t="s">
        <v>9</v>
      </c>
      <c r="C20" s="42" t="s">
        <v>3</v>
      </c>
      <c r="D20" s="42" t="s">
        <v>4</v>
      </c>
      <c r="E20" s="42" t="s">
        <v>5</v>
      </c>
      <c r="F20" s="42" t="s">
        <v>6</v>
      </c>
      <c r="G20" s="43" t="s">
        <v>8</v>
      </c>
      <c r="H20" s="69" t="s">
        <v>35</v>
      </c>
      <c r="I20" s="66" t="s">
        <v>39</v>
      </c>
      <c r="J20" s="66" t="s">
        <v>36</v>
      </c>
      <c r="K20" s="66" t="s">
        <v>37</v>
      </c>
      <c r="L20" s="66" t="s">
        <v>38</v>
      </c>
      <c r="M20" s="60" t="s">
        <v>7</v>
      </c>
    </row>
    <row r="21" spans="1:13" s="4" customFormat="1" ht="18" customHeight="1">
      <c r="A21" s="37" t="s">
        <v>13</v>
      </c>
      <c r="B21" s="46">
        <v>1.24</v>
      </c>
      <c r="C21" s="46">
        <f aca="true" t="shared" si="0" ref="C21:C32">G21*0.3</f>
        <v>0.12</v>
      </c>
      <c r="D21" s="46">
        <f aca="true" t="shared" si="1" ref="D21:D32">G21*0.55</f>
        <v>0.22000000000000003</v>
      </c>
      <c r="E21" s="46">
        <f aca="true" t="shared" si="2" ref="E21:E32">G21*0.75</f>
        <v>0.30000000000000004</v>
      </c>
      <c r="F21" s="46">
        <f aca="true" t="shared" si="3" ref="F21:F32">G21*0.9</f>
        <v>0.36000000000000004</v>
      </c>
      <c r="G21" s="47">
        <v>0.4</v>
      </c>
      <c r="H21" s="48"/>
      <c r="I21" s="49">
        <f aca="true" t="shared" si="4" ref="I21:I32">$B21*C21</f>
        <v>0.1488</v>
      </c>
      <c r="J21" s="46">
        <f aca="true" t="shared" si="5" ref="J21:J32">$B21*D21</f>
        <v>0.27280000000000004</v>
      </c>
      <c r="K21" s="46">
        <f aca="true" t="shared" si="6" ref="K21:K32">$B21*E21</f>
        <v>0.37200000000000005</v>
      </c>
      <c r="L21" s="46">
        <f aca="true" t="shared" si="7" ref="L21:L32">$B21*F21</f>
        <v>0.4464000000000001</v>
      </c>
      <c r="M21" s="50">
        <f aca="true" t="shared" si="8" ref="M21:M32">$B21*G21</f>
        <v>0.496</v>
      </c>
    </row>
    <row r="22" spans="1:13" s="4" customFormat="1" ht="18" customHeight="1">
      <c r="A22" s="44" t="s">
        <v>14</v>
      </c>
      <c r="B22" s="51">
        <v>1.96</v>
      </c>
      <c r="C22" s="51">
        <f t="shared" si="0"/>
        <v>0.12</v>
      </c>
      <c r="D22" s="51">
        <f t="shared" si="1"/>
        <v>0.22000000000000003</v>
      </c>
      <c r="E22" s="51">
        <f t="shared" si="2"/>
        <v>0.30000000000000004</v>
      </c>
      <c r="F22" s="51">
        <f t="shared" si="3"/>
        <v>0.36000000000000004</v>
      </c>
      <c r="G22" s="52">
        <v>0.4</v>
      </c>
      <c r="H22" s="53"/>
      <c r="I22" s="54">
        <f t="shared" si="4"/>
        <v>0.2352</v>
      </c>
      <c r="J22" s="51">
        <f t="shared" si="5"/>
        <v>0.4312</v>
      </c>
      <c r="K22" s="51">
        <f t="shared" si="6"/>
        <v>0.5880000000000001</v>
      </c>
      <c r="L22" s="51">
        <f t="shared" si="7"/>
        <v>0.7056000000000001</v>
      </c>
      <c r="M22" s="55">
        <f t="shared" si="8"/>
        <v>0.784</v>
      </c>
    </row>
    <row r="23" spans="1:14" s="4" customFormat="1" ht="18" customHeight="1">
      <c r="A23" s="44" t="s">
        <v>15</v>
      </c>
      <c r="B23" s="51">
        <v>3.41</v>
      </c>
      <c r="C23" s="51">
        <f t="shared" si="0"/>
        <v>0.20400000000000001</v>
      </c>
      <c r="D23" s="51">
        <f t="shared" si="1"/>
        <v>0.37400000000000005</v>
      </c>
      <c r="E23" s="51">
        <f t="shared" si="2"/>
        <v>0.51</v>
      </c>
      <c r="F23" s="51">
        <f t="shared" si="3"/>
        <v>0.6120000000000001</v>
      </c>
      <c r="G23" s="52">
        <v>0.68</v>
      </c>
      <c r="H23" s="53"/>
      <c r="I23" s="54">
        <f t="shared" si="4"/>
        <v>0.69564</v>
      </c>
      <c r="J23" s="51">
        <f t="shared" si="5"/>
        <v>1.2753400000000001</v>
      </c>
      <c r="K23" s="51">
        <f t="shared" si="6"/>
        <v>1.7391</v>
      </c>
      <c r="L23" s="51">
        <f t="shared" si="7"/>
        <v>2.0869200000000006</v>
      </c>
      <c r="M23" s="55">
        <f t="shared" si="8"/>
        <v>2.3188000000000004</v>
      </c>
      <c r="N23" s="121">
        <f>M23/30</f>
        <v>0.07729333333333335</v>
      </c>
    </row>
    <row r="24" spans="1:14" s="4" customFormat="1" ht="18" customHeight="1">
      <c r="A24" s="44" t="s">
        <v>16</v>
      </c>
      <c r="B24" s="51">
        <v>5.1</v>
      </c>
      <c r="C24" s="51">
        <f t="shared" si="0"/>
        <v>0.24899999999999997</v>
      </c>
      <c r="D24" s="51">
        <f t="shared" si="1"/>
        <v>0.4565</v>
      </c>
      <c r="E24" s="51">
        <f t="shared" si="2"/>
        <v>0.6224999999999999</v>
      </c>
      <c r="F24" s="51">
        <f t="shared" si="3"/>
        <v>0.747</v>
      </c>
      <c r="G24" s="52">
        <v>0.83</v>
      </c>
      <c r="H24" s="53"/>
      <c r="I24" s="54">
        <f t="shared" si="4"/>
        <v>1.2698999999999998</v>
      </c>
      <c r="J24" s="51">
        <f t="shared" si="5"/>
        <v>2.32815</v>
      </c>
      <c r="K24" s="51">
        <f t="shared" si="6"/>
        <v>3.1747499999999995</v>
      </c>
      <c r="L24" s="51">
        <f t="shared" si="7"/>
        <v>3.8097</v>
      </c>
      <c r="M24" s="55">
        <f t="shared" si="8"/>
        <v>4.233</v>
      </c>
      <c r="N24" s="121">
        <f aca="true" t="shared" si="9" ref="N24:N30">M24/30</f>
        <v>0.14109999999999998</v>
      </c>
    </row>
    <row r="25" spans="1:14" s="4" customFormat="1" ht="18" customHeight="1">
      <c r="A25" s="44" t="s">
        <v>17</v>
      </c>
      <c r="B25" s="51">
        <v>6.82</v>
      </c>
      <c r="C25" s="51">
        <f t="shared" si="0"/>
        <v>0.285</v>
      </c>
      <c r="D25" s="51">
        <f t="shared" si="1"/>
        <v>0.5225</v>
      </c>
      <c r="E25" s="51">
        <f t="shared" si="2"/>
        <v>0.7124999999999999</v>
      </c>
      <c r="F25" s="51">
        <f t="shared" si="3"/>
        <v>0.855</v>
      </c>
      <c r="G25" s="52">
        <v>0.95</v>
      </c>
      <c r="H25" s="53"/>
      <c r="I25" s="54">
        <f t="shared" si="4"/>
        <v>1.9437</v>
      </c>
      <c r="J25" s="51">
        <f t="shared" si="5"/>
        <v>3.56345</v>
      </c>
      <c r="K25" s="51">
        <f t="shared" si="6"/>
        <v>4.859249999999999</v>
      </c>
      <c r="L25" s="51">
        <f t="shared" si="7"/>
        <v>5.8311</v>
      </c>
      <c r="M25" s="55">
        <f t="shared" si="8"/>
        <v>6.479</v>
      </c>
      <c r="N25" s="121">
        <f t="shared" si="9"/>
        <v>0.21596666666666667</v>
      </c>
    </row>
    <row r="26" spans="1:14" s="4" customFormat="1" ht="18" customHeight="1">
      <c r="A26" s="44" t="s">
        <v>18</v>
      </c>
      <c r="B26" s="51">
        <v>7.8</v>
      </c>
      <c r="C26" s="51">
        <f t="shared" si="0"/>
        <v>0.315</v>
      </c>
      <c r="D26" s="51">
        <f t="shared" si="1"/>
        <v>0.5775000000000001</v>
      </c>
      <c r="E26" s="51">
        <f t="shared" si="2"/>
        <v>0.7875000000000001</v>
      </c>
      <c r="F26" s="51">
        <f t="shared" si="3"/>
        <v>0.9450000000000001</v>
      </c>
      <c r="G26" s="52">
        <v>1.05</v>
      </c>
      <c r="H26" s="53"/>
      <c r="I26" s="54">
        <f t="shared" si="4"/>
        <v>2.457</v>
      </c>
      <c r="J26" s="51">
        <f t="shared" si="5"/>
        <v>4.504500000000001</v>
      </c>
      <c r="K26" s="51">
        <f t="shared" si="6"/>
        <v>6.142500000000001</v>
      </c>
      <c r="L26" s="51">
        <f t="shared" si="7"/>
        <v>7.371</v>
      </c>
      <c r="M26" s="55">
        <f t="shared" si="8"/>
        <v>8.19</v>
      </c>
      <c r="N26" s="121">
        <f t="shared" si="9"/>
        <v>0.27299999999999996</v>
      </c>
    </row>
    <row r="27" spans="1:14" s="4" customFormat="1" ht="18" customHeight="1">
      <c r="A27" s="44" t="s">
        <v>19</v>
      </c>
      <c r="B27" s="51">
        <v>8.06</v>
      </c>
      <c r="C27" s="51">
        <f t="shared" si="0"/>
        <v>0.3226363636363636</v>
      </c>
      <c r="D27" s="51">
        <f t="shared" si="1"/>
        <v>0.5915</v>
      </c>
      <c r="E27" s="51">
        <f t="shared" si="2"/>
        <v>0.8065909090909091</v>
      </c>
      <c r="F27" s="51">
        <f t="shared" si="3"/>
        <v>0.9679090909090909</v>
      </c>
      <c r="G27" s="52">
        <v>1.0754545454545454</v>
      </c>
      <c r="H27" s="53"/>
      <c r="I27" s="54">
        <f t="shared" si="4"/>
        <v>2.6004490909090907</v>
      </c>
      <c r="J27" s="51">
        <f t="shared" si="5"/>
        <v>4.7674900000000004</v>
      </c>
      <c r="K27" s="51">
        <f t="shared" si="6"/>
        <v>6.501122727272728</v>
      </c>
      <c r="L27" s="51">
        <f t="shared" si="7"/>
        <v>7.8013472727272735</v>
      </c>
      <c r="M27" s="55">
        <f t="shared" si="8"/>
        <v>8.668163636363637</v>
      </c>
      <c r="N27" s="121">
        <f t="shared" si="9"/>
        <v>0.2889387878787879</v>
      </c>
    </row>
    <row r="28" spans="1:14" s="4" customFormat="1" ht="18" customHeight="1">
      <c r="A28" s="44" t="s">
        <v>20</v>
      </c>
      <c r="B28" s="51">
        <v>7.13</v>
      </c>
      <c r="C28" s="51">
        <f t="shared" si="0"/>
        <v>0.321</v>
      </c>
      <c r="D28" s="51">
        <f t="shared" si="1"/>
        <v>0.5885000000000001</v>
      </c>
      <c r="E28" s="51">
        <f t="shared" si="2"/>
        <v>0.8025</v>
      </c>
      <c r="F28" s="51">
        <f t="shared" si="3"/>
        <v>0.9630000000000001</v>
      </c>
      <c r="G28" s="52">
        <v>1.07</v>
      </c>
      <c r="H28" s="53"/>
      <c r="I28" s="54">
        <f t="shared" si="4"/>
        <v>2.28873</v>
      </c>
      <c r="J28" s="51">
        <f t="shared" si="5"/>
        <v>4.196005000000001</v>
      </c>
      <c r="K28" s="51">
        <f t="shared" si="6"/>
        <v>5.721825</v>
      </c>
      <c r="L28" s="51">
        <f t="shared" si="7"/>
        <v>6.8661900000000005</v>
      </c>
      <c r="M28" s="55">
        <f t="shared" si="8"/>
        <v>7.6291</v>
      </c>
      <c r="N28" s="121">
        <f t="shared" si="9"/>
        <v>0.2543033333333333</v>
      </c>
    </row>
    <row r="29" spans="1:14" s="4" customFormat="1" ht="18" customHeight="1">
      <c r="A29" s="44" t="s">
        <v>21</v>
      </c>
      <c r="B29" s="51">
        <v>5.4</v>
      </c>
      <c r="C29" s="51">
        <f t="shared" si="0"/>
        <v>0.30517431192660543</v>
      </c>
      <c r="D29" s="51">
        <f t="shared" si="1"/>
        <v>0.5594862385321101</v>
      </c>
      <c r="E29" s="51">
        <f t="shared" si="2"/>
        <v>0.7629357798165137</v>
      </c>
      <c r="F29" s="51">
        <f t="shared" si="3"/>
        <v>0.9155229357798165</v>
      </c>
      <c r="G29" s="52">
        <v>1.0172477064220182</v>
      </c>
      <c r="H29" s="53"/>
      <c r="I29" s="54">
        <f t="shared" si="4"/>
        <v>1.6479412844036694</v>
      </c>
      <c r="J29" s="51">
        <f t="shared" si="5"/>
        <v>3.0212256880733945</v>
      </c>
      <c r="K29" s="51">
        <f t="shared" si="6"/>
        <v>4.119853211009175</v>
      </c>
      <c r="L29" s="51">
        <f t="shared" si="7"/>
        <v>4.9438238532110095</v>
      </c>
      <c r="M29" s="55">
        <f t="shared" si="8"/>
        <v>5.493137614678899</v>
      </c>
      <c r="N29" s="121">
        <f t="shared" si="9"/>
        <v>0.18310458715596328</v>
      </c>
    </row>
    <row r="30" spans="1:14" s="4" customFormat="1" ht="18" customHeight="1">
      <c r="A30" s="44" t="s">
        <v>22</v>
      </c>
      <c r="B30" s="51">
        <v>3.72</v>
      </c>
      <c r="C30" s="51">
        <f t="shared" si="0"/>
        <v>0.264</v>
      </c>
      <c r="D30" s="51">
        <f t="shared" si="1"/>
        <v>0.48400000000000004</v>
      </c>
      <c r="E30" s="51">
        <f t="shared" si="2"/>
        <v>0.66</v>
      </c>
      <c r="F30" s="51">
        <f t="shared" si="3"/>
        <v>0.792</v>
      </c>
      <c r="G30" s="52">
        <v>0.88</v>
      </c>
      <c r="H30" s="53"/>
      <c r="I30" s="54">
        <f t="shared" si="4"/>
        <v>0.9820800000000001</v>
      </c>
      <c r="J30" s="51">
        <f t="shared" si="5"/>
        <v>1.8004800000000003</v>
      </c>
      <c r="K30" s="51">
        <f t="shared" si="6"/>
        <v>2.4552</v>
      </c>
      <c r="L30" s="51">
        <f t="shared" si="7"/>
        <v>2.9462400000000004</v>
      </c>
      <c r="M30" s="55">
        <f t="shared" si="8"/>
        <v>3.2736</v>
      </c>
      <c r="N30" s="121">
        <f t="shared" si="9"/>
        <v>0.10912000000000001</v>
      </c>
    </row>
    <row r="31" spans="1:13" s="4" customFormat="1" ht="18" customHeight="1">
      <c r="A31" s="44" t="s">
        <v>23</v>
      </c>
      <c r="B31" s="51">
        <v>1.8</v>
      </c>
      <c r="C31" s="51">
        <f t="shared" si="0"/>
        <v>0.20533333333333334</v>
      </c>
      <c r="D31" s="51">
        <f t="shared" si="1"/>
        <v>0.3764444444444445</v>
      </c>
      <c r="E31" s="51">
        <f t="shared" si="2"/>
        <v>0.5133333333333334</v>
      </c>
      <c r="F31" s="51">
        <f t="shared" si="3"/>
        <v>0.6160000000000001</v>
      </c>
      <c r="G31" s="52">
        <v>0.6844444444444445</v>
      </c>
      <c r="H31" s="53"/>
      <c r="I31" s="54">
        <f t="shared" si="4"/>
        <v>0.36960000000000004</v>
      </c>
      <c r="J31" s="51">
        <f t="shared" si="5"/>
        <v>0.6776000000000002</v>
      </c>
      <c r="K31" s="51">
        <f t="shared" si="6"/>
        <v>0.9240000000000002</v>
      </c>
      <c r="L31" s="51">
        <f t="shared" si="7"/>
        <v>1.1088000000000002</v>
      </c>
      <c r="M31" s="55">
        <f t="shared" si="8"/>
        <v>1.2320000000000002</v>
      </c>
    </row>
    <row r="32" spans="1:13" s="4" customFormat="1" ht="18" customHeight="1" thickBot="1">
      <c r="A32" s="41" t="s">
        <v>24</v>
      </c>
      <c r="B32" s="56">
        <v>0.93</v>
      </c>
      <c r="C32" s="56">
        <f t="shared" si="0"/>
        <v>0.12</v>
      </c>
      <c r="D32" s="56">
        <f t="shared" si="1"/>
        <v>0.22000000000000003</v>
      </c>
      <c r="E32" s="56">
        <f t="shared" si="2"/>
        <v>0.30000000000000004</v>
      </c>
      <c r="F32" s="56">
        <f t="shared" si="3"/>
        <v>0.36000000000000004</v>
      </c>
      <c r="G32" s="57">
        <v>0.4</v>
      </c>
      <c r="H32" s="58"/>
      <c r="I32" s="59">
        <f t="shared" si="4"/>
        <v>0.1116</v>
      </c>
      <c r="J32" s="56">
        <f t="shared" si="5"/>
        <v>0.20460000000000003</v>
      </c>
      <c r="K32" s="56">
        <f t="shared" si="6"/>
        <v>0.2790000000000001</v>
      </c>
      <c r="L32" s="56">
        <f t="shared" si="7"/>
        <v>0.33480000000000004</v>
      </c>
      <c r="M32" s="60">
        <f t="shared" si="8"/>
        <v>0.37200000000000005</v>
      </c>
    </row>
    <row r="33" spans="1:14" s="4" customFormat="1" ht="18" customHeight="1" thickBot="1">
      <c r="A33" s="45" t="s">
        <v>31</v>
      </c>
      <c r="B33" s="61">
        <f>SUM(B21:B32)</f>
        <v>53.37</v>
      </c>
      <c r="C33" s="62"/>
      <c r="D33" s="62"/>
      <c r="E33" s="62"/>
      <c r="F33" s="62"/>
      <c r="G33" s="63"/>
      <c r="H33" s="64"/>
      <c r="I33" s="65">
        <f>SUM(I21:I32)</f>
        <v>14.75064037531276</v>
      </c>
      <c r="J33" s="65">
        <f>SUM(J21:J32)</f>
        <v>27.042840688073394</v>
      </c>
      <c r="K33" s="65">
        <f>SUM(K21:K32)</f>
        <v>36.8766009382819</v>
      </c>
      <c r="L33" s="65">
        <f>SUM(L21:L32)</f>
        <v>44.25192112593829</v>
      </c>
      <c r="M33" s="65">
        <f>SUM(M21:M32)</f>
        <v>49.16880125104254</v>
      </c>
      <c r="N33" s="22"/>
    </row>
    <row r="34" spans="3:5" ht="15">
      <c r="C34" s="92">
        <v>1.1418911780243</v>
      </c>
      <c r="D34" s="46">
        <v>1.24</v>
      </c>
      <c r="E34" s="122">
        <v>1.085917838638046</v>
      </c>
    </row>
    <row r="35" spans="3:5" ht="15">
      <c r="C35" s="92">
        <v>2.534299298166176</v>
      </c>
      <c r="D35" s="51">
        <v>1.96</v>
      </c>
      <c r="E35" s="122">
        <v>0.7733893157048419</v>
      </c>
    </row>
    <row r="36" spans="3:5" ht="15">
      <c r="C36" s="92">
        <v>3.9398158629537394</v>
      </c>
      <c r="D36" s="51">
        <v>3.41</v>
      </c>
      <c r="E36" s="122">
        <v>0.8655226839569785</v>
      </c>
    </row>
    <row r="37" spans="3:5" ht="15">
      <c r="C37" s="92">
        <v>5.858018262772621</v>
      </c>
      <c r="D37" s="51">
        <v>5.1</v>
      </c>
      <c r="E37" s="122">
        <v>0.8706015876410312</v>
      </c>
    </row>
    <row r="38" spans="3:5" ht="15">
      <c r="C38" s="92">
        <v>7.66261414232888</v>
      </c>
      <c r="D38" s="51">
        <v>6.82</v>
      </c>
      <c r="E38" s="122">
        <v>0.8900356814687805</v>
      </c>
    </row>
    <row r="39" spans="3:5" ht="15">
      <c r="C39" s="92">
        <v>8.133061655724095</v>
      </c>
      <c r="D39" s="51">
        <v>7.8</v>
      </c>
      <c r="E39" s="122">
        <v>0.959048428522648</v>
      </c>
    </row>
    <row r="40" spans="3:5" ht="15">
      <c r="C40" s="92">
        <v>8.329688325409403</v>
      </c>
      <c r="D40" s="51">
        <v>8.06</v>
      </c>
      <c r="E40" s="122">
        <v>0.9676232393249663</v>
      </c>
    </row>
    <row r="41" spans="3:5" ht="15">
      <c r="C41" s="92">
        <v>7.415010187910347</v>
      </c>
      <c r="D41" s="51">
        <v>7.13</v>
      </c>
      <c r="E41" s="122">
        <v>0.9615630753447869</v>
      </c>
    </row>
    <row r="42" spans="3:5" ht="15">
      <c r="C42" s="92">
        <v>5.741498754810959</v>
      </c>
      <c r="D42" s="51">
        <v>5.4</v>
      </c>
      <c r="E42" s="122">
        <v>0.9405209738093547</v>
      </c>
    </row>
    <row r="43" spans="3:5" ht="15">
      <c r="C43" s="92">
        <v>3.9864236661384043</v>
      </c>
      <c r="D43" s="51">
        <v>3.72</v>
      </c>
      <c r="E43" s="122">
        <v>0.9331672475252775</v>
      </c>
    </row>
    <row r="44" spans="3:5" ht="15">
      <c r="C44" s="92">
        <v>2.055112821673836</v>
      </c>
      <c r="D44" s="51">
        <v>1.8</v>
      </c>
      <c r="E44" s="122">
        <v>0.8758643228812844</v>
      </c>
    </row>
    <row r="45" spans="3:5" ht="15.75" thickBot="1">
      <c r="C45" s="92">
        <v>1.1</v>
      </c>
      <c r="D45" s="56">
        <v>0.93</v>
      </c>
      <c r="E45" s="122">
        <v>0.8454545454545455</v>
      </c>
    </row>
    <row r="46" spans="3:5" ht="15.75" thickBot="1">
      <c r="C46" s="27">
        <f>SUM(C34:C45)</f>
        <v>57.89743415591276</v>
      </c>
      <c r="D46" s="61">
        <f>SUM(D34:D45)</f>
        <v>53.37</v>
      </c>
      <c r="E46" s="121">
        <f>D46/C46</f>
        <v>0.9218025077981733</v>
      </c>
    </row>
  </sheetData>
  <sheetProtection/>
  <mergeCells count="3">
    <mergeCell ref="D1:F1"/>
    <mergeCell ref="I19:M19"/>
    <mergeCell ref="A2:A3"/>
  </mergeCells>
  <printOptions/>
  <pageMargins left="0.49" right="0.18" top="0.23" bottom="0.21" header="0.21" footer="0.18"/>
  <pageSetup fitToHeight="1" fitToWidth="1" horizontalDpi="600" verticalDpi="600" orientation="landscape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5.00390625" style="0" customWidth="1"/>
    <col min="2" max="2" width="9.28125" style="0" customWidth="1"/>
    <col min="3" max="3" width="9.28125" style="4" customWidth="1"/>
    <col min="4" max="6" width="9.28125" style="0" customWidth="1"/>
    <col min="7" max="7" width="8.7109375" style="0" customWidth="1"/>
    <col min="8" max="8" width="0.5625" style="0" customWidth="1"/>
    <col min="9" max="9" width="0.13671875" style="0" hidden="1" customWidth="1"/>
    <col min="10" max="11" width="13.140625" style="0" hidden="1" customWidth="1"/>
    <col min="12" max="12" width="13.140625" style="0" customWidth="1"/>
    <col min="13" max="13" width="11.8515625" style="0" customWidth="1"/>
    <col min="14" max="14" width="1.57421875" style="0" customWidth="1"/>
    <col min="15" max="18" width="11.00390625" style="0" customWidth="1"/>
    <col min="19" max="19" width="10.7109375" style="0" bestFit="1" customWidth="1"/>
  </cols>
  <sheetData>
    <row r="1" spans="1:8" ht="27.75" customHeight="1" thickBot="1">
      <c r="A1" s="6"/>
      <c r="B1" s="6"/>
      <c r="C1" s="209" t="s">
        <v>32</v>
      </c>
      <c r="D1" s="209"/>
      <c r="E1" s="209"/>
      <c r="F1" s="6"/>
      <c r="G1" s="6"/>
      <c r="H1" s="6"/>
    </row>
    <row r="2" spans="1:8" ht="27" customHeight="1">
      <c r="A2" s="6"/>
      <c r="B2" s="72" t="s">
        <v>30</v>
      </c>
      <c r="C2" s="73" t="s">
        <v>27</v>
      </c>
      <c r="D2" s="74" t="s">
        <v>28</v>
      </c>
      <c r="E2" s="75" t="s">
        <v>94</v>
      </c>
      <c r="F2" s="6"/>
      <c r="G2" s="6"/>
      <c r="H2" s="6"/>
    </row>
    <row r="3" spans="1:8" ht="16.5" customHeight="1">
      <c r="A3" s="6"/>
      <c r="B3" s="76" t="s">
        <v>42</v>
      </c>
      <c r="C3" s="77" t="s">
        <v>25</v>
      </c>
      <c r="D3" s="78" t="s">
        <v>29</v>
      </c>
      <c r="E3" s="79" t="s">
        <v>26</v>
      </c>
      <c r="F3" s="6"/>
      <c r="G3" s="6"/>
      <c r="H3" s="6"/>
    </row>
    <row r="4" spans="1:13" ht="16.5" customHeight="1">
      <c r="A4" s="8" t="s">
        <v>13</v>
      </c>
      <c r="B4" s="92">
        <v>1.1418911780243</v>
      </c>
      <c r="C4" s="28">
        <v>0.34256735340728994</v>
      </c>
      <c r="D4" s="28">
        <v>0.45675647120971996</v>
      </c>
      <c r="E4" s="28">
        <v>1.1418911780243</v>
      </c>
      <c r="F4" s="6"/>
      <c r="G4" s="6"/>
      <c r="H4" s="6"/>
      <c r="I4" s="6"/>
      <c r="J4" s="6"/>
      <c r="K4" s="6"/>
      <c r="L4" s="6"/>
      <c r="M4" s="6"/>
    </row>
    <row r="5" spans="1:13" ht="16.5" customHeight="1">
      <c r="A5" s="8" t="s">
        <v>14</v>
      </c>
      <c r="B5" s="92">
        <v>2.534299298166176</v>
      </c>
      <c r="C5" s="28">
        <v>0.8051556259904912</v>
      </c>
      <c r="D5" s="28">
        <v>1.0236238774432116</v>
      </c>
      <c r="E5" s="28">
        <v>2.54330307832685</v>
      </c>
      <c r="F5" s="6"/>
      <c r="G5" s="6"/>
      <c r="H5" s="6"/>
      <c r="I5" s="6"/>
      <c r="J5" s="6"/>
      <c r="K5" s="6"/>
      <c r="L5" s="6"/>
      <c r="M5" s="6"/>
    </row>
    <row r="6" spans="1:13" ht="16.5" customHeight="1">
      <c r="A6" s="8" t="s">
        <v>15</v>
      </c>
      <c r="B6" s="92">
        <v>3.9398158629537394</v>
      </c>
      <c r="C6" s="28">
        <v>2.3869643925025676</v>
      </c>
      <c r="D6" s="28">
        <v>2.5666283790350186</v>
      </c>
      <c r="E6" s="28">
        <v>4.145109045044642</v>
      </c>
      <c r="F6" s="6"/>
      <c r="G6" s="6"/>
      <c r="H6" s="6"/>
      <c r="I6" s="6"/>
      <c r="J6" s="6"/>
      <c r="K6" s="6"/>
      <c r="L6" s="6"/>
      <c r="M6" s="6"/>
    </row>
    <row r="7" spans="1:13" ht="16.5" customHeight="1">
      <c r="A7" s="8" t="s">
        <v>16</v>
      </c>
      <c r="B7" s="92">
        <v>5.858018262772621</v>
      </c>
      <c r="C7" s="28">
        <v>4.318789564971286</v>
      </c>
      <c r="D7" s="28">
        <v>4.643859747280954</v>
      </c>
      <c r="E7" s="28">
        <v>6.491450328517193</v>
      </c>
      <c r="F7" s="6"/>
      <c r="G7" s="6"/>
      <c r="H7" s="6"/>
      <c r="I7" s="6"/>
      <c r="J7" s="6"/>
      <c r="K7" s="6"/>
      <c r="L7" s="6"/>
      <c r="M7" s="6"/>
    </row>
    <row r="8" spans="1:13" ht="16.5" customHeight="1" thickBot="1">
      <c r="A8" s="8" t="s">
        <v>17</v>
      </c>
      <c r="B8" s="92">
        <v>7.66261414232888</v>
      </c>
      <c r="C8" s="28">
        <v>6.647005578470484</v>
      </c>
      <c r="D8" s="28">
        <v>7.147317826312349</v>
      </c>
      <c r="E8" s="28">
        <v>8.857700216510187</v>
      </c>
      <c r="F8" s="6"/>
      <c r="G8" s="6"/>
      <c r="H8" s="6"/>
      <c r="I8" s="6"/>
      <c r="J8" s="6"/>
      <c r="K8" s="6"/>
      <c r="L8" s="6"/>
      <c r="M8" s="6"/>
    </row>
    <row r="9" spans="1:19" ht="16.5" customHeight="1">
      <c r="A9" s="8" t="s">
        <v>18</v>
      </c>
      <c r="B9" s="92">
        <v>8.133061655724095</v>
      </c>
      <c r="C9" s="28">
        <v>7.77054937536051</v>
      </c>
      <c r="D9" s="28">
        <v>8.355429435871516</v>
      </c>
      <c r="E9" s="28">
        <v>9.384301910450878</v>
      </c>
      <c r="F9" s="6"/>
      <c r="G9" s="6"/>
      <c r="H9" s="6"/>
      <c r="I9" s="6"/>
      <c r="J9" s="6"/>
      <c r="K9" s="6"/>
      <c r="L9" s="6"/>
      <c r="M9" s="6"/>
      <c r="P9" s="102" t="s">
        <v>75</v>
      </c>
      <c r="Q9" s="103">
        <v>24</v>
      </c>
      <c r="R9" s="219" t="s">
        <v>118</v>
      </c>
      <c r="S9" s="220"/>
    </row>
    <row r="10" spans="1:19" ht="16.5" customHeight="1">
      <c r="A10" s="8" t="s">
        <v>19</v>
      </c>
      <c r="B10" s="92">
        <v>8.329688325409403</v>
      </c>
      <c r="C10" s="28">
        <v>8.330770623900413</v>
      </c>
      <c r="D10" s="28">
        <v>8.957817875161735</v>
      </c>
      <c r="E10" s="28">
        <v>9.317157543987971</v>
      </c>
      <c r="F10" s="6"/>
      <c r="G10" s="6"/>
      <c r="H10" s="6"/>
      <c r="I10" s="6"/>
      <c r="J10" s="6"/>
      <c r="K10" s="6"/>
      <c r="L10" s="6"/>
      <c r="M10" s="6"/>
      <c r="P10" s="102" t="s">
        <v>76</v>
      </c>
      <c r="Q10" s="104">
        <v>21</v>
      </c>
      <c r="R10" s="221"/>
      <c r="S10" s="222"/>
    </row>
    <row r="11" spans="1:19" ht="16.5" customHeight="1">
      <c r="A11" s="8" t="s">
        <v>20</v>
      </c>
      <c r="B11" s="92">
        <v>7.415010187910347</v>
      </c>
      <c r="C11" s="28">
        <v>7.406657283400816</v>
      </c>
      <c r="D11" s="28">
        <v>7.964147616560019</v>
      </c>
      <c r="E11" s="28">
        <v>6.028937816013885</v>
      </c>
      <c r="F11" s="6"/>
      <c r="G11" s="6"/>
      <c r="H11" s="6"/>
      <c r="I11" s="6"/>
      <c r="J11" s="6"/>
      <c r="K11" s="6"/>
      <c r="L11" s="6"/>
      <c r="M11" s="6"/>
      <c r="P11" s="102" t="s">
        <v>77</v>
      </c>
      <c r="Q11" s="104">
        <f>Q9*Q10</f>
        <v>504</v>
      </c>
      <c r="R11" s="221"/>
      <c r="S11" s="222"/>
    </row>
    <row r="12" spans="1:19" ht="16.5" customHeight="1">
      <c r="A12" s="8" t="s">
        <v>21</v>
      </c>
      <c r="B12" s="92">
        <v>5.741498754810959</v>
      </c>
      <c r="C12" s="28">
        <v>5.463159664726976</v>
      </c>
      <c r="D12" s="28">
        <v>5.8743652308892225</v>
      </c>
      <c r="E12" s="28">
        <v>6.366153253009561</v>
      </c>
      <c r="F12" s="6"/>
      <c r="G12" s="6"/>
      <c r="H12" s="6"/>
      <c r="I12" s="6"/>
      <c r="J12" s="6"/>
      <c r="K12" s="6"/>
      <c r="L12" s="6"/>
      <c r="M12" s="6"/>
      <c r="P12" s="102" t="s">
        <v>78</v>
      </c>
      <c r="Q12" s="105" t="s">
        <v>79</v>
      </c>
      <c r="R12" s="106"/>
      <c r="S12" s="107"/>
    </row>
    <row r="13" spans="1:19" ht="16.5" customHeight="1">
      <c r="A13" s="8" t="s">
        <v>22</v>
      </c>
      <c r="B13" s="92">
        <v>3.9864236661384043</v>
      </c>
      <c r="C13" s="28">
        <v>3.246560050724027</v>
      </c>
      <c r="D13" s="28">
        <v>3.49092478572476</v>
      </c>
      <c r="E13" s="28">
        <v>4.266839552762488</v>
      </c>
      <c r="F13" s="6"/>
      <c r="G13" s="6"/>
      <c r="H13" s="6"/>
      <c r="I13" s="6"/>
      <c r="J13" s="6"/>
      <c r="K13" s="6"/>
      <c r="L13" s="6"/>
      <c r="M13" s="6"/>
      <c r="P13" s="102" t="s">
        <v>80</v>
      </c>
      <c r="Q13" s="104">
        <v>2</v>
      </c>
      <c r="R13" s="106"/>
      <c r="S13" s="107"/>
    </row>
    <row r="14" spans="1:19" ht="16.5" customHeight="1" thickBot="1">
      <c r="A14" s="8" t="s">
        <v>23</v>
      </c>
      <c r="B14" s="92">
        <v>2.055112821673836</v>
      </c>
      <c r="C14" s="28">
        <v>1.228734391429168</v>
      </c>
      <c r="D14" s="28">
        <v>1.3212197757302877</v>
      </c>
      <c r="E14" s="28">
        <v>2.0912020152506607</v>
      </c>
      <c r="F14" s="6"/>
      <c r="G14" s="6"/>
      <c r="H14" s="6"/>
      <c r="I14" s="6"/>
      <c r="J14" s="6"/>
      <c r="K14" s="6"/>
      <c r="L14" s="6"/>
      <c r="M14" s="6"/>
      <c r="P14" s="102" t="s">
        <v>81</v>
      </c>
      <c r="Q14" s="108">
        <v>12</v>
      </c>
      <c r="R14" s="109"/>
      <c r="S14" s="110"/>
    </row>
    <row r="15" spans="1:17" ht="16.5" customHeight="1" thickBot="1">
      <c r="A15" s="8" t="s">
        <v>24</v>
      </c>
      <c r="B15" s="92">
        <v>1.1</v>
      </c>
      <c r="C15" s="28">
        <v>0.3401204437400951</v>
      </c>
      <c r="D15" s="28">
        <v>0.47</v>
      </c>
      <c r="E15" s="28">
        <v>1.0317802430005283</v>
      </c>
      <c r="F15" s="6"/>
      <c r="G15" s="6"/>
      <c r="H15" s="6"/>
      <c r="I15" s="6"/>
      <c r="J15" s="6"/>
      <c r="K15" s="6"/>
      <c r="L15" s="6"/>
      <c r="M15" s="6"/>
      <c r="P15" s="102" t="s">
        <v>82</v>
      </c>
      <c r="Q15" s="6">
        <f>21.4</f>
        <v>21.4</v>
      </c>
    </row>
    <row r="16" spans="1:17" ht="18.75" customHeight="1" thickBot="1">
      <c r="A16" s="23" t="s">
        <v>31</v>
      </c>
      <c r="B16" s="27">
        <f>SUM(B4:B15)</f>
        <v>57.89743415591276</v>
      </c>
      <c r="C16" s="24">
        <f>SUM(C4:C15)</f>
        <v>48.28703434862413</v>
      </c>
      <c r="D16" s="25">
        <f>SUM(D4:D15)</f>
        <v>52.27209102121879</v>
      </c>
      <c r="E16" s="26">
        <f>SUM(E4:E15)</f>
        <v>61.665826180899145</v>
      </c>
      <c r="F16" s="6"/>
      <c r="G16" s="6"/>
      <c r="H16" s="6"/>
      <c r="I16" s="6"/>
      <c r="J16" s="6"/>
      <c r="K16" s="6"/>
      <c r="L16" s="6"/>
      <c r="M16" s="6"/>
      <c r="P16" s="102" t="s">
        <v>83</v>
      </c>
      <c r="Q16" s="28">
        <f>Q15*24/7.48*12/Q11</f>
        <v>1.634835752482811</v>
      </c>
    </row>
    <row r="17" spans="1:17" ht="18.75" customHeight="1">
      <c r="A17" s="6"/>
      <c r="B17" s="6"/>
      <c r="C17" s="6"/>
      <c r="D17" s="6"/>
      <c r="E17" s="6"/>
      <c r="F17" s="6"/>
      <c r="G17" s="6"/>
      <c r="H17" s="6"/>
      <c r="P17" s="102" t="s">
        <v>84</v>
      </c>
      <c r="Q17" s="111">
        <f>(Q14/2)^2*3.1415*Q13/Q11</f>
        <v>0.44878571428571434</v>
      </c>
    </row>
    <row r="18" spans="1:17" s="4" customFormat="1" ht="14.25" thickBot="1">
      <c r="A18" s="31"/>
      <c r="B18" s="32"/>
      <c r="C18" s="33"/>
      <c r="D18" s="33"/>
      <c r="E18" s="33"/>
      <c r="F18" s="33"/>
      <c r="G18" s="34"/>
      <c r="H18" s="35"/>
      <c r="I18" s="33"/>
      <c r="J18" s="33"/>
      <c r="K18" s="33"/>
      <c r="L18" s="33"/>
      <c r="M18" s="36"/>
      <c r="P18" s="102" t="s">
        <v>85</v>
      </c>
      <c r="Q18" s="28">
        <f>Q16/Q17</f>
        <v>3.642798111532604</v>
      </c>
    </row>
    <row r="19" spans="1:19" s="4" customFormat="1" ht="72.75" customHeight="1" thickBot="1">
      <c r="A19" s="67" t="s">
        <v>0</v>
      </c>
      <c r="B19" s="38" t="s">
        <v>41</v>
      </c>
      <c r="C19" s="39"/>
      <c r="D19" s="39"/>
      <c r="E19" s="39"/>
      <c r="F19" s="112" t="s">
        <v>86</v>
      </c>
      <c r="G19" s="113" t="s">
        <v>33</v>
      </c>
      <c r="H19" s="68"/>
      <c r="I19" s="206" t="s">
        <v>40</v>
      </c>
      <c r="J19" s="210"/>
      <c r="K19" s="210"/>
      <c r="L19" s="210"/>
      <c r="M19" s="214"/>
      <c r="O19" s="215" t="s">
        <v>96</v>
      </c>
      <c r="P19" s="216"/>
      <c r="Q19" s="216"/>
      <c r="R19" s="217"/>
      <c r="S19" s="218"/>
    </row>
    <row r="20" spans="1:19" s="4" customFormat="1" ht="48" customHeight="1" thickBot="1">
      <c r="A20" s="41" t="s">
        <v>34</v>
      </c>
      <c r="B20" s="114" t="s">
        <v>9</v>
      </c>
      <c r="C20" s="42" t="s">
        <v>3</v>
      </c>
      <c r="D20" s="42" t="s">
        <v>4</v>
      </c>
      <c r="E20" s="42" t="s">
        <v>5</v>
      </c>
      <c r="F20" s="115">
        <v>0.9</v>
      </c>
      <c r="G20" s="43" t="s">
        <v>8</v>
      </c>
      <c r="H20" s="69" t="s">
        <v>35</v>
      </c>
      <c r="I20" s="66" t="s">
        <v>39</v>
      </c>
      <c r="J20" s="66" t="s">
        <v>36</v>
      </c>
      <c r="K20" s="66" t="s">
        <v>37</v>
      </c>
      <c r="L20" s="66" t="s">
        <v>38</v>
      </c>
      <c r="M20" s="60" t="s">
        <v>7</v>
      </c>
      <c r="O20" s="70" t="s">
        <v>87</v>
      </c>
      <c r="P20" s="70" t="s">
        <v>88</v>
      </c>
      <c r="Q20" s="70" t="s">
        <v>89</v>
      </c>
      <c r="R20" s="164" t="s">
        <v>97</v>
      </c>
      <c r="S20" s="165" t="s">
        <v>98</v>
      </c>
    </row>
    <row r="21" spans="1:19" s="4" customFormat="1" ht="18" customHeight="1">
      <c r="A21" s="37" t="s">
        <v>13</v>
      </c>
      <c r="B21" s="46">
        <v>1.1418911780243</v>
      </c>
      <c r="C21" s="46">
        <f aca="true" t="shared" si="0" ref="C21:C32">G21*0.3</f>
        <v>0.12</v>
      </c>
      <c r="D21" s="46">
        <f aca="true" t="shared" si="1" ref="D21:D32">G21*0.55</f>
        <v>0.22000000000000003</v>
      </c>
      <c r="E21" s="46">
        <f aca="true" t="shared" si="2" ref="E21:E32">G21*0.75</f>
        <v>0.30000000000000004</v>
      </c>
      <c r="F21" s="46">
        <f aca="true" t="shared" si="3" ref="F21:F32">G21*F$20</f>
        <v>0.36000000000000004</v>
      </c>
      <c r="G21" s="47">
        <v>0.4</v>
      </c>
      <c r="H21" s="48"/>
      <c r="I21" s="49">
        <f aca="true" t="shared" si="4" ref="I21:I32">$B21*C21</f>
        <v>0.137026941362916</v>
      </c>
      <c r="J21" s="46">
        <f aca="true" t="shared" si="5" ref="J21:J32">$B21*D21</f>
        <v>0.251216059165346</v>
      </c>
      <c r="K21" s="46">
        <f aca="true" t="shared" si="6" ref="K21:K32">$B21*E21</f>
        <v>0.34256735340729005</v>
      </c>
      <c r="L21" s="46">
        <f aca="true" t="shared" si="7" ref="L21:L32">$B21*F21</f>
        <v>0.411080824088748</v>
      </c>
      <c r="M21" s="50">
        <f aca="true" t="shared" si="8" ref="M21:M32">$B21*G21</f>
        <v>0.45675647120972</v>
      </c>
      <c r="O21" s="116">
        <f>M21/Q$16</f>
        <v>0.27938982281005775</v>
      </c>
      <c r="P21" s="117">
        <f aca="true" t="shared" si="9" ref="P21:P32">O21*1.333</f>
        <v>0.372426633805807</v>
      </c>
      <c r="Q21" s="117">
        <f aca="true" t="shared" si="10" ref="Q21:Q32">O21*2</f>
        <v>0.5587796456201155</v>
      </c>
      <c r="R21" s="166">
        <v>1</v>
      </c>
      <c r="S21" s="167">
        <f>R21*Q$16</f>
        <v>1.634835752482811</v>
      </c>
    </row>
    <row r="22" spans="1:19" s="4" customFormat="1" ht="18" customHeight="1">
      <c r="A22" s="44" t="s">
        <v>14</v>
      </c>
      <c r="B22" s="51">
        <v>2.534299298166176</v>
      </c>
      <c r="C22" s="51">
        <f t="shared" si="0"/>
        <v>0.12</v>
      </c>
      <c r="D22" s="51">
        <f t="shared" si="1"/>
        <v>0.22000000000000003</v>
      </c>
      <c r="E22" s="51">
        <f t="shared" si="2"/>
        <v>0.30000000000000004</v>
      </c>
      <c r="F22" s="51">
        <f t="shared" si="3"/>
        <v>0.36000000000000004</v>
      </c>
      <c r="G22" s="52">
        <v>0.4</v>
      </c>
      <c r="H22" s="53"/>
      <c r="I22" s="54">
        <f t="shared" si="4"/>
        <v>0.3041159157799411</v>
      </c>
      <c r="J22" s="51">
        <f t="shared" si="5"/>
        <v>0.5575458455965588</v>
      </c>
      <c r="K22" s="51">
        <f t="shared" si="6"/>
        <v>0.7602897894498529</v>
      </c>
      <c r="L22" s="51">
        <f t="shared" si="7"/>
        <v>0.9123477473398235</v>
      </c>
      <c r="M22" s="55">
        <f t="shared" si="8"/>
        <v>1.0137197192664704</v>
      </c>
      <c r="O22" s="116">
        <f aca="true" t="shared" si="11" ref="O22:O32">M22/Q$16</f>
        <v>0.6200743516447711</v>
      </c>
      <c r="P22" s="117">
        <f t="shared" si="9"/>
        <v>0.8265591107424799</v>
      </c>
      <c r="Q22" s="117">
        <f t="shared" si="10"/>
        <v>1.2401487032895422</v>
      </c>
      <c r="R22" s="166"/>
      <c r="S22" s="168"/>
    </row>
    <row r="23" spans="1:19" s="4" customFormat="1" ht="18" customHeight="1">
      <c r="A23" s="44" t="s">
        <v>15</v>
      </c>
      <c r="B23" s="51">
        <v>3.9398158629537394</v>
      </c>
      <c r="C23" s="51">
        <f t="shared" si="0"/>
        <v>0.201</v>
      </c>
      <c r="D23" s="51">
        <f t="shared" si="1"/>
        <v>0.36850000000000005</v>
      </c>
      <c r="E23" s="51">
        <f t="shared" si="2"/>
        <v>0.5025000000000001</v>
      </c>
      <c r="F23" s="51">
        <f t="shared" si="3"/>
        <v>0.6030000000000001</v>
      </c>
      <c r="G23" s="52">
        <v>0.67</v>
      </c>
      <c r="H23" s="53"/>
      <c r="I23" s="54">
        <f t="shared" si="4"/>
        <v>0.7919029884537017</v>
      </c>
      <c r="J23" s="51">
        <f t="shared" si="5"/>
        <v>1.4518221454984532</v>
      </c>
      <c r="K23" s="51">
        <f t="shared" si="6"/>
        <v>1.9797574711342543</v>
      </c>
      <c r="L23" s="51">
        <f t="shared" si="7"/>
        <v>2.375708965361105</v>
      </c>
      <c r="M23" s="55">
        <f t="shared" si="8"/>
        <v>2.6396766281790054</v>
      </c>
      <c r="O23" s="116">
        <f t="shared" si="11"/>
        <v>1.6146433206945414</v>
      </c>
      <c r="P23" s="117">
        <f t="shared" si="9"/>
        <v>2.1523195464858236</v>
      </c>
      <c r="Q23" s="117">
        <f t="shared" si="10"/>
        <v>3.229286641389083</v>
      </c>
      <c r="R23" s="166">
        <v>2</v>
      </c>
      <c r="S23" s="167">
        <f aca="true" t="shared" si="12" ref="S23:S30">R23*Q$16</f>
        <v>3.269671504965622</v>
      </c>
    </row>
    <row r="24" spans="1:19" s="4" customFormat="1" ht="18" customHeight="1">
      <c r="A24" s="44" t="s">
        <v>16</v>
      </c>
      <c r="B24" s="51">
        <v>5.858018262772621</v>
      </c>
      <c r="C24" s="51">
        <f t="shared" si="0"/>
        <v>0.24899999999999997</v>
      </c>
      <c r="D24" s="51">
        <f t="shared" si="1"/>
        <v>0.4565</v>
      </c>
      <c r="E24" s="51">
        <f t="shared" si="2"/>
        <v>0.6224999999999999</v>
      </c>
      <c r="F24" s="51">
        <f t="shared" si="3"/>
        <v>0.747</v>
      </c>
      <c r="G24" s="52">
        <v>0.83</v>
      </c>
      <c r="H24" s="53"/>
      <c r="I24" s="54">
        <f t="shared" si="4"/>
        <v>1.4586465474303825</v>
      </c>
      <c r="J24" s="51">
        <f t="shared" si="5"/>
        <v>2.6741853369557016</v>
      </c>
      <c r="K24" s="51">
        <f t="shared" si="6"/>
        <v>3.6466163685759563</v>
      </c>
      <c r="L24" s="51">
        <f t="shared" si="7"/>
        <v>4.375939642291148</v>
      </c>
      <c r="M24" s="55">
        <f t="shared" si="8"/>
        <v>4.862155158101275</v>
      </c>
      <c r="N24" s="22"/>
      <c r="O24" s="116">
        <f t="shared" si="11"/>
        <v>2.974093972875967</v>
      </c>
      <c r="P24" s="117">
        <f t="shared" si="9"/>
        <v>3.9644672658436644</v>
      </c>
      <c r="Q24" s="117">
        <f t="shared" si="10"/>
        <v>5.948187945751934</v>
      </c>
      <c r="R24" s="166">
        <v>3</v>
      </c>
      <c r="S24" s="167">
        <f t="shared" si="12"/>
        <v>4.904507257448433</v>
      </c>
    </row>
    <row r="25" spans="1:19" s="4" customFormat="1" ht="18" customHeight="1">
      <c r="A25" s="44" t="s">
        <v>17</v>
      </c>
      <c r="B25" s="51">
        <v>7.66261414232888</v>
      </c>
      <c r="C25" s="51">
        <f t="shared" si="0"/>
        <v>0.285</v>
      </c>
      <c r="D25" s="51">
        <f t="shared" si="1"/>
        <v>0.5225</v>
      </c>
      <c r="E25" s="51">
        <f t="shared" si="2"/>
        <v>0.7124999999999999</v>
      </c>
      <c r="F25" s="51">
        <f t="shared" si="3"/>
        <v>0.855</v>
      </c>
      <c r="G25" s="52">
        <v>0.95</v>
      </c>
      <c r="H25" s="53"/>
      <c r="I25" s="54">
        <f t="shared" si="4"/>
        <v>2.1838450305637305</v>
      </c>
      <c r="J25" s="51">
        <f t="shared" si="5"/>
        <v>4.003715889366839</v>
      </c>
      <c r="K25" s="51">
        <f t="shared" si="6"/>
        <v>5.459612576409326</v>
      </c>
      <c r="L25" s="51">
        <f t="shared" si="7"/>
        <v>6.551535091691192</v>
      </c>
      <c r="M25" s="55">
        <f t="shared" si="8"/>
        <v>7.279483435212436</v>
      </c>
      <c r="O25" s="116">
        <f t="shared" si="11"/>
        <v>4.4527307554640565</v>
      </c>
      <c r="P25" s="117">
        <f t="shared" si="9"/>
        <v>5.935490097033587</v>
      </c>
      <c r="Q25" s="117">
        <f t="shared" si="10"/>
        <v>8.905461510928113</v>
      </c>
      <c r="R25" s="166">
        <v>4.5</v>
      </c>
      <c r="S25" s="167">
        <f t="shared" si="12"/>
        <v>7.3567608861726494</v>
      </c>
    </row>
    <row r="26" spans="1:19" s="4" customFormat="1" ht="18" customHeight="1">
      <c r="A26" s="44" t="s">
        <v>18</v>
      </c>
      <c r="B26" s="51">
        <v>8.133061655724095</v>
      </c>
      <c r="C26" s="51">
        <f t="shared" si="0"/>
        <v>0.312</v>
      </c>
      <c r="D26" s="51">
        <f t="shared" si="1"/>
        <v>0.5720000000000001</v>
      </c>
      <c r="E26" s="51">
        <f t="shared" si="2"/>
        <v>0.78</v>
      </c>
      <c r="F26" s="51">
        <f t="shared" si="3"/>
        <v>0.936</v>
      </c>
      <c r="G26" s="52">
        <v>1.04</v>
      </c>
      <c r="H26" s="53"/>
      <c r="I26" s="54">
        <f t="shared" si="4"/>
        <v>2.5375152365859175</v>
      </c>
      <c r="J26" s="51">
        <f t="shared" si="5"/>
        <v>4.652111267074183</v>
      </c>
      <c r="K26" s="51">
        <f t="shared" si="6"/>
        <v>6.343788091464795</v>
      </c>
      <c r="L26" s="51">
        <f t="shared" si="7"/>
        <v>7.612545709757754</v>
      </c>
      <c r="M26" s="55">
        <f t="shared" si="8"/>
        <v>8.45838412195306</v>
      </c>
      <c r="O26" s="116">
        <f t="shared" si="11"/>
        <v>5.173843371792784</v>
      </c>
      <c r="P26" s="117">
        <f t="shared" si="9"/>
        <v>6.896733214599781</v>
      </c>
      <c r="Q26" s="117">
        <f t="shared" si="10"/>
        <v>10.347686743585568</v>
      </c>
      <c r="R26" s="166">
        <v>5.5</v>
      </c>
      <c r="S26" s="167">
        <f t="shared" si="12"/>
        <v>8.99159663865546</v>
      </c>
    </row>
    <row r="27" spans="1:19" s="4" customFormat="1" ht="18" customHeight="1">
      <c r="A27" s="44" t="s">
        <v>19</v>
      </c>
      <c r="B27" s="51">
        <v>8.329688325409403</v>
      </c>
      <c r="C27" s="51">
        <f t="shared" si="0"/>
        <v>0.3226363636363636</v>
      </c>
      <c r="D27" s="51">
        <f t="shared" si="1"/>
        <v>0.5915</v>
      </c>
      <c r="E27" s="51">
        <f t="shared" si="2"/>
        <v>0.8065909090909091</v>
      </c>
      <c r="F27" s="51">
        <f t="shared" si="3"/>
        <v>0.9679090909090909</v>
      </c>
      <c r="G27" s="52">
        <v>1.0754545454545454</v>
      </c>
      <c r="H27" s="53"/>
      <c r="I27" s="54">
        <f t="shared" si="4"/>
        <v>2.687460351534361</v>
      </c>
      <c r="J27" s="51">
        <f t="shared" si="5"/>
        <v>4.927010644479663</v>
      </c>
      <c r="K27" s="51">
        <f t="shared" si="6"/>
        <v>6.718650878835903</v>
      </c>
      <c r="L27" s="51">
        <f t="shared" si="7"/>
        <v>8.062381054603083</v>
      </c>
      <c r="M27" s="55">
        <f t="shared" si="8"/>
        <v>8.958201171781203</v>
      </c>
      <c r="O27" s="116">
        <f t="shared" si="11"/>
        <v>5.479572585916634</v>
      </c>
      <c r="P27" s="117">
        <f t="shared" si="9"/>
        <v>7.304270257026873</v>
      </c>
      <c r="Q27" s="117">
        <f t="shared" si="10"/>
        <v>10.959145171833269</v>
      </c>
      <c r="R27" s="166">
        <v>6</v>
      </c>
      <c r="S27" s="167">
        <f t="shared" si="12"/>
        <v>9.809014514896866</v>
      </c>
    </row>
    <row r="28" spans="1:19" s="4" customFormat="1" ht="18" customHeight="1">
      <c r="A28" s="44" t="s">
        <v>20</v>
      </c>
      <c r="B28" s="51">
        <v>7.415010187910347</v>
      </c>
      <c r="C28" s="51">
        <f t="shared" si="0"/>
        <v>0.309</v>
      </c>
      <c r="D28" s="51">
        <f t="shared" si="1"/>
        <v>0.5665000000000001</v>
      </c>
      <c r="E28" s="51">
        <f t="shared" si="2"/>
        <v>0.7725</v>
      </c>
      <c r="F28" s="51">
        <f t="shared" si="3"/>
        <v>0.927</v>
      </c>
      <c r="G28" s="52">
        <v>1.03</v>
      </c>
      <c r="H28" s="53"/>
      <c r="I28" s="54">
        <f t="shared" si="4"/>
        <v>2.291238148064297</v>
      </c>
      <c r="J28" s="51">
        <f t="shared" si="5"/>
        <v>4.200603271451213</v>
      </c>
      <c r="K28" s="51">
        <f t="shared" si="6"/>
        <v>5.728095370160743</v>
      </c>
      <c r="L28" s="51">
        <f t="shared" si="7"/>
        <v>6.873714444192893</v>
      </c>
      <c r="M28" s="55">
        <f t="shared" si="8"/>
        <v>7.637460493547658</v>
      </c>
      <c r="N28" s="22"/>
      <c r="O28" s="116">
        <f t="shared" si="11"/>
        <v>4.671698965445741</v>
      </c>
      <c r="P28" s="117">
        <f t="shared" si="9"/>
        <v>6.2273747209391725</v>
      </c>
      <c r="Q28" s="117">
        <f t="shared" si="10"/>
        <v>9.343397930891483</v>
      </c>
      <c r="R28" s="166">
        <v>2</v>
      </c>
      <c r="S28" s="167">
        <f t="shared" si="12"/>
        <v>3.269671504965622</v>
      </c>
    </row>
    <row r="29" spans="1:19" s="4" customFormat="1" ht="18" customHeight="1">
      <c r="A29" s="44" t="s">
        <v>21</v>
      </c>
      <c r="B29" s="51">
        <v>5.741498754810959</v>
      </c>
      <c r="C29" s="51">
        <f t="shared" si="0"/>
        <v>0.294</v>
      </c>
      <c r="D29" s="51">
        <f t="shared" si="1"/>
        <v>0.539</v>
      </c>
      <c r="E29" s="51">
        <f t="shared" si="2"/>
        <v>0.735</v>
      </c>
      <c r="F29" s="51">
        <f t="shared" si="3"/>
        <v>0.882</v>
      </c>
      <c r="G29" s="52">
        <v>0.98</v>
      </c>
      <c r="H29" s="53"/>
      <c r="I29" s="54">
        <f t="shared" si="4"/>
        <v>1.6880006339144218</v>
      </c>
      <c r="J29" s="51">
        <f t="shared" si="5"/>
        <v>3.094667828843107</v>
      </c>
      <c r="K29" s="51">
        <f t="shared" si="6"/>
        <v>4.220001584786054</v>
      </c>
      <c r="L29" s="51">
        <f t="shared" si="7"/>
        <v>5.064001901743265</v>
      </c>
      <c r="M29" s="55">
        <f t="shared" si="8"/>
        <v>5.626668779714739</v>
      </c>
      <c r="O29" s="116">
        <f t="shared" si="11"/>
        <v>3.4417333797414</v>
      </c>
      <c r="P29" s="117">
        <f t="shared" si="9"/>
        <v>4.587830595195286</v>
      </c>
      <c r="Q29" s="117">
        <f t="shared" si="10"/>
        <v>6.8834667594828</v>
      </c>
      <c r="R29" s="166">
        <v>4</v>
      </c>
      <c r="S29" s="167">
        <f t="shared" si="12"/>
        <v>6.539343009931244</v>
      </c>
    </row>
    <row r="30" spans="1:19" s="4" customFormat="1" ht="18" customHeight="1">
      <c r="A30" s="44" t="s">
        <v>22</v>
      </c>
      <c r="B30" s="51">
        <v>3.9864236661384043</v>
      </c>
      <c r="C30" s="51">
        <f t="shared" si="0"/>
        <v>0.264</v>
      </c>
      <c r="D30" s="51">
        <f t="shared" si="1"/>
        <v>0.48400000000000004</v>
      </c>
      <c r="E30" s="51">
        <f t="shared" si="2"/>
        <v>0.66</v>
      </c>
      <c r="F30" s="51">
        <f t="shared" si="3"/>
        <v>0.792</v>
      </c>
      <c r="G30" s="52">
        <v>0.88</v>
      </c>
      <c r="H30" s="53"/>
      <c r="I30" s="54">
        <f t="shared" si="4"/>
        <v>1.0524158478605388</v>
      </c>
      <c r="J30" s="51">
        <f t="shared" si="5"/>
        <v>1.9294290544109878</v>
      </c>
      <c r="K30" s="51">
        <f t="shared" si="6"/>
        <v>2.631039619651347</v>
      </c>
      <c r="L30" s="51">
        <f t="shared" si="7"/>
        <v>3.1572475435816165</v>
      </c>
      <c r="M30" s="55">
        <f t="shared" si="8"/>
        <v>3.5080528262017956</v>
      </c>
      <c r="O30" s="116">
        <f t="shared" si="11"/>
        <v>2.1458136212608183</v>
      </c>
      <c r="P30" s="117">
        <f t="shared" si="9"/>
        <v>2.860369557140671</v>
      </c>
      <c r="Q30" s="117">
        <f t="shared" si="10"/>
        <v>4.291627242521637</v>
      </c>
      <c r="R30" s="166">
        <v>2</v>
      </c>
      <c r="S30" s="167">
        <f t="shared" si="12"/>
        <v>3.269671504965622</v>
      </c>
    </row>
    <row r="31" spans="1:19" s="4" customFormat="1" ht="18" customHeight="1">
      <c r="A31" s="44" t="s">
        <v>23</v>
      </c>
      <c r="B31" s="51">
        <v>2.055112821673836</v>
      </c>
      <c r="C31" s="51">
        <f t="shared" si="0"/>
        <v>0.20533333333333334</v>
      </c>
      <c r="D31" s="51">
        <f t="shared" si="1"/>
        <v>0.3764444444444445</v>
      </c>
      <c r="E31" s="51">
        <f t="shared" si="2"/>
        <v>0.5133333333333334</v>
      </c>
      <c r="F31" s="51">
        <f t="shared" si="3"/>
        <v>0.6160000000000001</v>
      </c>
      <c r="G31" s="52">
        <v>0.6844444444444445</v>
      </c>
      <c r="H31" s="53"/>
      <c r="I31" s="54">
        <f t="shared" si="4"/>
        <v>0.421983166050361</v>
      </c>
      <c r="J31" s="51">
        <f t="shared" si="5"/>
        <v>0.7736358044256619</v>
      </c>
      <c r="K31" s="51">
        <f t="shared" si="6"/>
        <v>1.0549579151259025</v>
      </c>
      <c r="L31" s="51">
        <f t="shared" si="7"/>
        <v>1.265949498151083</v>
      </c>
      <c r="M31" s="55">
        <f t="shared" si="8"/>
        <v>1.4066105535012035</v>
      </c>
      <c r="O31" s="116">
        <f t="shared" si="11"/>
        <v>0.8603986983799419</v>
      </c>
      <c r="P31" s="117">
        <f t="shared" si="9"/>
        <v>1.1469114649404626</v>
      </c>
      <c r="Q31" s="117">
        <f t="shared" si="10"/>
        <v>1.7207973967598837</v>
      </c>
      <c r="R31" s="166">
        <v>1</v>
      </c>
      <c r="S31" s="167">
        <f>R31*Q$16</f>
        <v>1.634835752482811</v>
      </c>
    </row>
    <row r="32" spans="1:19" s="4" customFormat="1" ht="18" customHeight="1" thickBot="1">
      <c r="A32" s="41" t="s">
        <v>24</v>
      </c>
      <c r="B32" s="56">
        <v>1.1</v>
      </c>
      <c r="C32" s="56">
        <f t="shared" si="0"/>
        <v>0.12</v>
      </c>
      <c r="D32" s="56">
        <f t="shared" si="1"/>
        <v>0.22000000000000003</v>
      </c>
      <c r="E32" s="56">
        <f t="shared" si="2"/>
        <v>0.30000000000000004</v>
      </c>
      <c r="F32" s="56">
        <f t="shared" si="3"/>
        <v>0.36000000000000004</v>
      </c>
      <c r="G32" s="57">
        <v>0.4</v>
      </c>
      <c r="H32" s="58"/>
      <c r="I32" s="59">
        <f t="shared" si="4"/>
        <v>0.132</v>
      </c>
      <c r="J32" s="56">
        <f t="shared" si="5"/>
        <v>0.24200000000000005</v>
      </c>
      <c r="K32" s="56">
        <f t="shared" si="6"/>
        <v>0.33000000000000007</v>
      </c>
      <c r="L32" s="56">
        <f t="shared" si="7"/>
        <v>0.3960000000000001</v>
      </c>
      <c r="M32" s="60">
        <f t="shared" si="8"/>
        <v>0.44000000000000006</v>
      </c>
      <c r="O32" s="116">
        <f t="shared" si="11"/>
        <v>0.2691401869158879</v>
      </c>
      <c r="P32" s="117">
        <f t="shared" si="9"/>
        <v>0.3587638691588786</v>
      </c>
      <c r="Q32" s="117">
        <f t="shared" si="10"/>
        <v>0.5382803738317758</v>
      </c>
      <c r="R32" s="166"/>
      <c r="S32" s="168"/>
    </row>
    <row r="33" spans="1:19" s="4" customFormat="1" ht="18" customHeight="1" thickBot="1">
      <c r="A33" s="45" t="s">
        <v>31</v>
      </c>
      <c r="B33" s="61">
        <f>SUM(B21:B32)</f>
        <v>57.89743415591276</v>
      </c>
      <c r="C33" s="62"/>
      <c r="D33" s="62"/>
      <c r="E33" s="62"/>
      <c r="F33" s="62"/>
      <c r="G33" s="63"/>
      <c r="H33" s="64"/>
      <c r="I33" s="65">
        <f>SUM(I21:I32)</f>
        <v>15.686150807600567</v>
      </c>
      <c r="J33" s="65">
        <f>SUM(J21:J32)</f>
        <v>28.757943147267717</v>
      </c>
      <c r="K33" s="65">
        <f>SUM(K21:K32)</f>
        <v>39.21537701900142</v>
      </c>
      <c r="L33" s="65">
        <f>SUM(L21:L32)</f>
        <v>47.058452422801714</v>
      </c>
      <c r="M33" s="65">
        <f>SUM(M21:M32)</f>
        <v>52.28716935866857</v>
      </c>
      <c r="N33" s="22"/>
      <c r="O33" s="118">
        <f>SUM(O21:O32)</f>
        <v>31.983133032942604</v>
      </c>
      <c r="P33" s="170">
        <f>SUM(P21:P32)</f>
        <v>42.63351633291249</v>
      </c>
      <c r="Q33" s="171">
        <f>SUM(Q21:Q32)</f>
        <v>63.96626606588521</v>
      </c>
      <c r="R33" s="118">
        <f>SUM(R21:R32)</f>
        <v>31</v>
      </c>
      <c r="S33" s="169">
        <f>SUM(S21:S32)</f>
        <v>50.67990832696714</v>
      </c>
    </row>
    <row r="34" ht="12.75">
      <c r="P34" s="6" t="s">
        <v>90</v>
      </c>
    </row>
    <row r="38" ht="12">
      <c r="C38" s="1"/>
    </row>
    <row r="39" ht="12">
      <c r="C39" s="1"/>
    </row>
    <row r="40" ht="12">
      <c r="C40" s="1"/>
    </row>
  </sheetData>
  <sheetProtection/>
  <mergeCells count="4">
    <mergeCell ref="C1:E1"/>
    <mergeCell ref="I19:M19"/>
    <mergeCell ref="O19:S19"/>
    <mergeCell ref="R9:S11"/>
  </mergeCells>
  <printOptions/>
  <pageMargins left="0.77" right="0.52" top="1.41" bottom="1" header="0.5" footer="0.5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9">
      <selection activeCell="A16" sqref="A2:IV16"/>
    </sheetView>
  </sheetViews>
  <sheetFormatPr defaultColWidth="9.140625" defaultRowHeight="12.75"/>
  <cols>
    <col min="1" max="16" width="7.140625" style="101" customWidth="1"/>
    <col min="17" max="16384" width="9.140625" style="101" customWidth="1"/>
  </cols>
  <sheetData>
    <row r="2" s="95" customFormat="1" ht="13.5">
      <c r="A2" s="94" t="s">
        <v>61</v>
      </c>
    </row>
    <row r="3" spans="1:16" s="96" customFormat="1" ht="31.5" customHeight="1">
      <c r="A3" s="201" t="s">
        <v>62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9" s="98" customFormat="1" ht="31.5" customHeight="1">
      <c r="A4" s="201" t="s">
        <v>63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97"/>
      <c r="R4" s="97"/>
      <c r="S4" s="97"/>
    </row>
    <row r="5" spans="1:19" s="98" customFormat="1" ht="31.5" customHeight="1">
      <c r="A5" s="201" t="s">
        <v>64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97"/>
      <c r="R5" s="97"/>
      <c r="S5" s="97"/>
    </row>
    <row r="6" spans="1:19" s="98" customFormat="1" ht="31.5" customHeight="1">
      <c r="A6" s="201" t="s">
        <v>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97"/>
      <c r="R6" s="97"/>
      <c r="S6" s="97"/>
    </row>
    <row r="7" spans="1:19" s="98" customFormat="1" ht="31.5" customHeight="1">
      <c r="A7" s="201" t="s">
        <v>66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97"/>
      <c r="R7" s="97"/>
      <c r="S7" s="97"/>
    </row>
    <row r="8" spans="1:19" s="98" customFormat="1" ht="31.5" customHeight="1">
      <c r="A8" s="201" t="s">
        <v>67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97"/>
      <c r="R8" s="97"/>
      <c r="S8" s="97"/>
    </row>
    <row r="9" spans="1:19" s="98" customFormat="1" ht="31.5" customHeight="1">
      <c r="A9" s="201" t="s">
        <v>68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97"/>
      <c r="R9" s="97"/>
      <c r="S9" s="97"/>
    </row>
    <row r="10" spans="1:19" s="98" customFormat="1" ht="31.5" customHeight="1">
      <c r="A10" s="201" t="s">
        <v>69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97"/>
      <c r="R10" s="97"/>
      <c r="S10" s="97"/>
    </row>
    <row r="11" spans="1:19" s="98" customFormat="1" ht="31.5" customHeight="1">
      <c r="A11" s="201" t="s">
        <v>70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97"/>
      <c r="R11" s="97"/>
      <c r="S11" s="97"/>
    </row>
    <row r="12" spans="1:19" s="98" customFormat="1" ht="31.5" customHeight="1">
      <c r="A12" s="201" t="s">
        <v>71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97"/>
      <c r="R12" s="97"/>
      <c r="S12" s="97"/>
    </row>
    <row r="13" spans="1:19" s="100" customFormat="1" ht="31.5" customHeight="1">
      <c r="A13" s="201" t="s">
        <v>72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99"/>
      <c r="R13" s="99"/>
      <c r="S13" s="99"/>
    </row>
    <row r="14" spans="1:19" s="100" customFormat="1" ht="31.5" customHeight="1">
      <c r="A14" s="201" t="s">
        <v>73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99"/>
      <c r="R14" s="99"/>
      <c r="S14" s="99"/>
    </row>
    <row r="15" spans="1:19" s="100" customFormat="1" ht="31.5" customHeight="1">
      <c r="A15" s="201" t="s">
        <v>74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99"/>
      <c r="R15" s="99"/>
      <c r="S15" s="99"/>
    </row>
    <row r="16" spans="1:19" s="100" customFormat="1" ht="87" customHeight="1">
      <c r="A16" s="202" t="s">
        <v>99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99"/>
      <c r="R16" s="99"/>
      <c r="S16" s="99"/>
    </row>
  </sheetData>
  <sheetProtection/>
  <mergeCells count="14">
    <mergeCell ref="A3:P3"/>
    <mergeCell ref="A4:P4"/>
    <mergeCell ref="A5:P5"/>
    <mergeCell ref="A6:P6"/>
    <mergeCell ref="A7:P7"/>
    <mergeCell ref="A8:P8"/>
    <mergeCell ref="A9:P9"/>
    <mergeCell ref="A10:P10"/>
    <mergeCell ref="A15:P15"/>
    <mergeCell ref="A16:P16"/>
    <mergeCell ref="A11:P11"/>
    <mergeCell ref="A12:P12"/>
    <mergeCell ref="A13:P13"/>
    <mergeCell ref="A14:P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Sanden</dc:creator>
  <cp:keywords/>
  <dc:description/>
  <cp:lastModifiedBy>Carol Heaton</cp:lastModifiedBy>
  <cp:lastPrinted>2015-03-13T20:47:38Z</cp:lastPrinted>
  <dcterms:created xsi:type="dcterms:W3CDTF">2001-04-30T20:25:21Z</dcterms:created>
  <dcterms:modified xsi:type="dcterms:W3CDTF">2017-12-13T18:58:25Z</dcterms:modified>
  <cp:category/>
  <cp:version/>
  <cp:contentType/>
  <cp:contentStatus/>
</cp:coreProperties>
</file>